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0490" windowHeight="7755"/>
  </bookViews>
  <sheets>
    <sheet name="12 programa" sheetId="9" r:id="rId1"/>
    <sheet name="Lyginamasis" sheetId="11" r:id="rId2"/>
    <sheet name="Donatui" sheetId="13" state="hidden" r:id="rId3"/>
    <sheet name="Aiškinamoji lentelė" sheetId="12" state="hidden" r:id="rId4"/>
    <sheet name="Lyginamasis 2018-10-25" sheetId="8" state="hidden" r:id="rId5"/>
  </sheets>
  <definedNames>
    <definedName name="_xlnm.Print_Area" localSheetId="0">'12 programa'!$A$1:$N$218</definedName>
    <definedName name="_xlnm.Print_Area" localSheetId="3">'Aiškinamoji lentelė'!$A$1:$R$218</definedName>
    <definedName name="_xlnm.Print_Area" localSheetId="1">Lyginamasis!$A$1:$S$223</definedName>
    <definedName name="_xlnm.Print_Area" localSheetId="4">'Lyginamasis 2018-10-25'!$A$1:$U$199</definedName>
    <definedName name="_xlnm.Print_Titles" localSheetId="0">'12 programa'!$6:$8</definedName>
    <definedName name="_xlnm.Print_Titles" localSheetId="3">'Aiškinamoji lentelė'!$6:$8</definedName>
    <definedName name="_xlnm.Print_Titles" localSheetId="2">Donatui!$6:$8</definedName>
    <definedName name="_xlnm.Print_Titles" localSheetId="1">Lyginamasis!$6:$8</definedName>
    <definedName name="_xlnm.Print_Titles" localSheetId="4">'Lyginamasis 2018-10-25'!$6:$8</definedName>
  </definedNames>
  <calcPr calcId="162913"/>
</workbook>
</file>

<file path=xl/calcChain.xml><?xml version="1.0" encoding="utf-8"?>
<calcChain xmlns="http://schemas.openxmlformats.org/spreadsheetml/2006/main">
  <c r="L175" i="11" l="1"/>
  <c r="H170" i="9" l="1"/>
  <c r="H150" i="9"/>
  <c r="H109" i="9"/>
  <c r="H53" i="9"/>
  <c r="H22" i="9"/>
  <c r="H13" i="9"/>
  <c r="J108" i="11"/>
  <c r="J119" i="11"/>
  <c r="J167" i="11"/>
  <c r="I167" i="11"/>
  <c r="I150" i="11"/>
  <c r="J109" i="11" l="1"/>
  <c r="I109" i="11"/>
  <c r="J107" i="11"/>
  <c r="J53" i="11"/>
  <c r="I53" i="11"/>
  <c r="I52" i="11"/>
  <c r="J46" i="11"/>
  <c r="J45" i="11"/>
  <c r="J35" i="11"/>
  <c r="J34" i="11"/>
  <c r="J29" i="11"/>
  <c r="J28" i="11"/>
  <c r="J26" i="11"/>
  <c r="J37" i="11" l="1"/>
  <c r="J36" i="11"/>
  <c r="J23" i="11" l="1"/>
  <c r="J22" i="11"/>
  <c r="I22" i="11"/>
  <c r="I13" i="11"/>
  <c r="M175" i="11" l="1"/>
  <c r="J175" i="11"/>
  <c r="I175" i="11"/>
  <c r="K167" i="11"/>
  <c r="L167" i="11"/>
  <c r="M167" i="11"/>
  <c r="N167" i="11"/>
  <c r="H167" i="11"/>
  <c r="M152" i="11"/>
  <c r="J152" i="11"/>
  <c r="I152" i="11"/>
  <c r="H152" i="9"/>
  <c r="M160" i="11"/>
  <c r="J160" i="11"/>
  <c r="I160" i="11"/>
  <c r="I174" i="9" l="1"/>
  <c r="M179" i="11" l="1"/>
  <c r="L179" i="11"/>
  <c r="M178" i="11"/>
  <c r="J36" i="13" l="1"/>
  <c r="K36" i="13"/>
  <c r="L36" i="13"/>
  <c r="J37" i="13"/>
  <c r="K37" i="13"/>
  <c r="L37" i="13"/>
  <c r="J38" i="13"/>
  <c r="K38" i="13"/>
  <c r="L38" i="13"/>
  <c r="J39" i="13"/>
  <c r="K39" i="13"/>
  <c r="L39" i="13"/>
  <c r="J41" i="13"/>
  <c r="J42" i="13"/>
  <c r="K42" i="13"/>
  <c r="L42" i="13"/>
  <c r="L26" i="13"/>
  <c r="M26" i="13"/>
  <c r="L48" i="13"/>
  <c r="K48" i="13"/>
  <c r="J48" i="13"/>
  <c r="L47" i="13"/>
  <c r="K47" i="13"/>
  <c r="J47" i="13"/>
  <c r="L44" i="13"/>
  <c r="K44" i="13"/>
  <c r="J44" i="13"/>
  <c r="L43" i="13"/>
  <c r="K43" i="13"/>
  <c r="J43" i="13"/>
  <c r="L40" i="13"/>
  <c r="K40" i="13"/>
  <c r="J40" i="13"/>
  <c r="L35" i="13"/>
  <c r="K35" i="13"/>
  <c r="J35" i="13"/>
  <c r="K34" i="13"/>
  <c r="K25" i="13"/>
  <c r="K26" i="13" s="1"/>
  <c r="J25" i="13"/>
  <c r="J22" i="13"/>
  <c r="M16" i="13"/>
  <c r="M17" i="13" s="1"/>
  <c r="L16" i="13"/>
  <c r="L17" i="13" s="1"/>
  <c r="K16" i="13"/>
  <c r="K17" i="13" s="1"/>
  <c r="J16" i="13"/>
  <c r="J17" i="13" s="1"/>
  <c r="L46" i="13"/>
  <c r="K46" i="13"/>
  <c r="J46" i="13"/>
  <c r="J34" i="13"/>
  <c r="M37" i="13" l="1"/>
  <c r="M39" i="13"/>
  <c r="M38" i="13"/>
  <c r="M42" i="13"/>
  <c r="J26" i="13"/>
  <c r="J27" i="13" s="1"/>
  <c r="K45" i="13"/>
  <c r="K27" i="13"/>
  <c r="M27" i="13"/>
  <c r="M28" i="13" s="1"/>
  <c r="L27" i="13"/>
  <c r="L28" i="13" s="1"/>
  <c r="J45" i="13"/>
  <c r="L45" i="13"/>
  <c r="M35" i="13"/>
  <c r="J33" i="13"/>
  <c r="J32" i="13" s="1"/>
  <c r="K33" i="13"/>
  <c r="K32" i="13" s="1"/>
  <c r="K28" i="13"/>
  <c r="L34" i="13"/>
  <c r="L33" i="13" s="1"/>
  <c r="L32" i="13" s="1"/>
  <c r="M190" i="12"/>
  <c r="M194" i="12" s="1"/>
  <c r="M162" i="12"/>
  <c r="M163" i="12" s="1"/>
  <c r="M144" i="12"/>
  <c r="M132" i="12"/>
  <c r="M130" i="12"/>
  <c r="M125" i="12"/>
  <c r="M119" i="12"/>
  <c r="M108" i="12"/>
  <c r="M106" i="12"/>
  <c r="M49" i="12"/>
  <c r="M46" i="12"/>
  <c r="M44" i="12"/>
  <c r="M42" i="12"/>
  <c r="M37" i="12"/>
  <c r="M35" i="12"/>
  <c r="M29" i="12"/>
  <c r="M27" i="12"/>
  <c r="M25" i="12"/>
  <c r="M23" i="12"/>
  <c r="M21" i="12"/>
  <c r="K49" i="13" l="1"/>
  <c r="M36" i="13"/>
  <c r="J49" i="13"/>
  <c r="L49" i="13"/>
  <c r="M46" i="13"/>
  <c r="M44" i="13"/>
  <c r="M40" i="13"/>
  <c r="M47" i="13"/>
  <c r="M34" i="13"/>
  <c r="J28" i="13"/>
  <c r="M48" i="13"/>
  <c r="M43" i="13"/>
  <c r="M40" i="12"/>
  <c r="M50" i="12" s="1"/>
  <c r="M145" i="12"/>
  <c r="M195" i="12" l="1"/>
  <c r="M196" i="12" s="1"/>
  <c r="M45" i="13"/>
  <c r="M33" i="13"/>
  <c r="M32" i="13" s="1"/>
  <c r="L216" i="12"/>
  <c r="K216" i="12"/>
  <c r="J216" i="12"/>
  <c r="L215" i="12"/>
  <c r="K215" i="12"/>
  <c r="J215" i="12"/>
  <c r="L212" i="12"/>
  <c r="K212" i="12"/>
  <c r="J212" i="12"/>
  <c r="L211" i="12"/>
  <c r="K211" i="12"/>
  <c r="J211" i="12"/>
  <c r="L210" i="12"/>
  <c r="K210" i="12"/>
  <c r="J210" i="12"/>
  <c r="L208" i="12"/>
  <c r="K208" i="12"/>
  <c r="J208" i="12"/>
  <c r="L207" i="12"/>
  <c r="K207" i="12"/>
  <c r="J207" i="12"/>
  <c r="L206" i="12"/>
  <c r="K206" i="12"/>
  <c r="J206" i="12"/>
  <c r="J205" i="12"/>
  <c r="L204" i="12"/>
  <c r="K204" i="12"/>
  <c r="L203" i="12"/>
  <c r="K203" i="12"/>
  <c r="J203" i="12"/>
  <c r="K193" i="12"/>
  <c r="J193" i="12"/>
  <c r="L190" i="12"/>
  <c r="L194" i="12" s="1"/>
  <c r="K190" i="12"/>
  <c r="J190" i="12"/>
  <c r="K174" i="12"/>
  <c r="K175" i="12" s="1"/>
  <c r="J174" i="12"/>
  <c r="J168" i="12"/>
  <c r="L162" i="12"/>
  <c r="L163" i="12" s="1"/>
  <c r="K162" i="12"/>
  <c r="K163" i="12" s="1"/>
  <c r="J162" i="12"/>
  <c r="J163" i="12" s="1"/>
  <c r="L144" i="12"/>
  <c r="K144" i="12"/>
  <c r="J142" i="12"/>
  <c r="K141" i="12"/>
  <c r="J141" i="12"/>
  <c r="K137" i="12"/>
  <c r="J137" i="12"/>
  <c r="L132" i="12"/>
  <c r="K132" i="12"/>
  <c r="J132" i="12"/>
  <c r="L130" i="12"/>
  <c r="K130" i="12"/>
  <c r="J130" i="12"/>
  <c r="J125" i="12"/>
  <c r="L120" i="12"/>
  <c r="L125" i="12" s="1"/>
  <c r="K120" i="12"/>
  <c r="K125" i="12" s="1"/>
  <c r="J119" i="12"/>
  <c r="L109" i="12"/>
  <c r="L119" i="12" s="1"/>
  <c r="K109" i="12"/>
  <c r="K119" i="12" s="1"/>
  <c r="L108" i="12"/>
  <c r="K108" i="12"/>
  <c r="J108" i="12"/>
  <c r="L58" i="12"/>
  <c r="L214" i="12" s="1"/>
  <c r="L213" i="12" s="1"/>
  <c r="K58" i="12"/>
  <c r="K214" i="12" s="1"/>
  <c r="J58" i="12"/>
  <c r="J214" i="12" s="1"/>
  <c r="J57" i="12"/>
  <c r="L56" i="12"/>
  <c r="L205" i="12" s="1"/>
  <c r="K56" i="12"/>
  <c r="K106" i="12" s="1"/>
  <c r="J54" i="12"/>
  <c r="J209" i="12" s="1"/>
  <c r="L49" i="12"/>
  <c r="K49" i="12"/>
  <c r="J49" i="12"/>
  <c r="L46" i="12"/>
  <c r="L45" i="12"/>
  <c r="L202" i="12" s="1"/>
  <c r="K45" i="12"/>
  <c r="K202" i="12" s="1"/>
  <c r="J45" i="12"/>
  <c r="J46" i="12" s="1"/>
  <c r="L44" i="12"/>
  <c r="K44" i="12"/>
  <c r="J44" i="12"/>
  <c r="L42" i="12"/>
  <c r="K42" i="12"/>
  <c r="J42" i="12"/>
  <c r="L37" i="12"/>
  <c r="K37" i="12"/>
  <c r="J37" i="12"/>
  <c r="L35" i="12"/>
  <c r="K35" i="12"/>
  <c r="J35" i="12"/>
  <c r="K33" i="12"/>
  <c r="J33" i="12"/>
  <c r="L29" i="12"/>
  <c r="K29" i="12"/>
  <c r="J29" i="12"/>
  <c r="L27" i="12"/>
  <c r="K27" i="12"/>
  <c r="J27" i="12"/>
  <c r="L25" i="12"/>
  <c r="K25" i="12"/>
  <c r="J25" i="12"/>
  <c r="L23" i="12"/>
  <c r="K23" i="12"/>
  <c r="J23" i="12"/>
  <c r="L21" i="12"/>
  <c r="K21" i="12"/>
  <c r="J21" i="12"/>
  <c r="I130" i="11"/>
  <c r="H130" i="9"/>
  <c r="H150" i="11"/>
  <c r="H52" i="11"/>
  <c r="H13" i="11"/>
  <c r="J106" i="12" l="1"/>
  <c r="L106" i="12"/>
  <c r="L145" i="12" s="1"/>
  <c r="J202" i="12"/>
  <c r="J175" i="12"/>
  <c r="K213" i="12"/>
  <c r="J194" i="12"/>
  <c r="J204" i="12"/>
  <c r="J40" i="12"/>
  <c r="K40" i="12"/>
  <c r="K194" i="12"/>
  <c r="L40" i="12"/>
  <c r="L50" i="12" s="1"/>
  <c r="J213" i="12"/>
  <c r="M49" i="13"/>
  <c r="K145" i="12"/>
  <c r="L201" i="12"/>
  <c r="L200" i="12" s="1"/>
  <c r="L217" i="12" s="1"/>
  <c r="K205" i="12"/>
  <c r="K201" i="12" s="1"/>
  <c r="K200" i="12" s="1"/>
  <c r="K217" i="12" s="1"/>
  <c r="J144" i="12"/>
  <c r="J145" i="12" s="1"/>
  <c r="K46" i="12"/>
  <c r="K50" i="12" s="1"/>
  <c r="J130" i="9"/>
  <c r="I130" i="9"/>
  <c r="H130" i="11"/>
  <c r="J201" i="12" l="1"/>
  <c r="J200" i="12" s="1"/>
  <c r="L195" i="12"/>
  <c r="L196" i="12" s="1"/>
  <c r="J50" i="12"/>
  <c r="M214" i="12" s="1"/>
  <c r="J217" i="12"/>
  <c r="K195" i="12"/>
  <c r="K196" i="12" s="1"/>
  <c r="M210" i="12"/>
  <c r="M211" i="12"/>
  <c r="M207" i="12"/>
  <c r="M205" i="12"/>
  <c r="J130" i="11"/>
  <c r="H137" i="9"/>
  <c r="J137" i="11"/>
  <c r="I137" i="11"/>
  <c r="H137" i="11"/>
  <c r="M202" i="12" l="1"/>
  <c r="M212" i="12"/>
  <c r="M208" i="12"/>
  <c r="M216" i="12"/>
  <c r="M203" i="12"/>
  <c r="M215" i="12"/>
  <c r="M213" i="12" s="1"/>
  <c r="M206" i="12"/>
  <c r="M204" i="12"/>
  <c r="J195" i="12"/>
  <c r="J196" i="12" s="1"/>
  <c r="J13" i="11"/>
  <c r="J52" i="11"/>
  <c r="M201" i="12" l="1"/>
  <c r="M200" i="12" s="1"/>
  <c r="M217" i="12" s="1"/>
  <c r="J163" i="11"/>
  <c r="J150" i="11" l="1"/>
  <c r="L137" i="11"/>
  <c r="M135" i="11"/>
  <c r="M133" i="11"/>
  <c r="H207" i="11"/>
  <c r="H33" i="11"/>
  <c r="H195" i="11"/>
  <c r="H179" i="11"/>
  <c r="I33" i="11"/>
  <c r="M137" i="11" l="1"/>
  <c r="H220" i="11"/>
  <c r="H216" i="11"/>
  <c r="H215" i="11"/>
  <c r="H213" i="11"/>
  <c r="H210" i="11"/>
  <c r="L220" i="11"/>
  <c r="L219" i="11"/>
  <c r="L215" i="11"/>
  <c r="L211" i="11"/>
  <c r="L210" i="11"/>
  <c r="L208" i="11"/>
  <c r="L207" i="11"/>
  <c r="L198" i="11"/>
  <c r="L195" i="11"/>
  <c r="L180" i="11"/>
  <c r="L168" i="11"/>
  <c r="L144" i="11"/>
  <c r="L141" i="11"/>
  <c r="L132" i="11"/>
  <c r="L130" i="11"/>
  <c r="L120" i="11"/>
  <c r="L125" i="11" s="1"/>
  <c r="L109" i="11"/>
  <c r="L119" i="11" s="1"/>
  <c r="L108" i="11"/>
  <c r="L58" i="11"/>
  <c r="L56" i="11"/>
  <c r="L209" i="11" s="1"/>
  <c r="L49" i="11"/>
  <c r="L45" i="11"/>
  <c r="L46" i="11" s="1"/>
  <c r="L44" i="11"/>
  <c r="L42" i="11"/>
  <c r="L37" i="11"/>
  <c r="L35" i="11"/>
  <c r="L33" i="11"/>
  <c r="L29" i="11"/>
  <c r="L27" i="11"/>
  <c r="L25" i="11"/>
  <c r="L23" i="11"/>
  <c r="L21" i="11"/>
  <c r="M198" i="11"/>
  <c r="M195" i="11"/>
  <c r="M180" i="11"/>
  <c r="M168" i="11"/>
  <c r="M144" i="11"/>
  <c r="M141" i="11"/>
  <c r="M132" i="11"/>
  <c r="M130" i="11"/>
  <c r="M125" i="11"/>
  <c r="M119" i="11"/>
  <c r="M108" i="11"/>
  <c r="M49" i="11"/>
  <c r="M46" i="11"/>
  <c r="M44" i="11"/>
  <c r="M42" i="11"/>
  <c r="M37" i="11"/>
  <c r="M35" i="11"/>
  <c r="M33" i="11"/>
  <c r="M29" i="11"/>
  <c r="M27" i="11"/>
  <c r="M25" i="11"/>
  <c r="M23" i="11"/>
  <c r="M21" i="11"/>
  <c r="L206" i="11" l="1"/>
  <c r="L106" i="11"/>
  <c r="L145" i="11" s="1"/>
  <c r="M106" i="11"/>
  <c r="M145" i="11" s="1"/>
  <c r="L40" i="11"/>
  <c r="L50" i="11" s="1"/>
  <c r="L199" i="11"/>
  <c r="L218" i="11"/>
  <c r="L217" i="11" s="1"/>
  <c r="M40" i="11"/>
  <c r="M50" i="11" s="1"/>
  <c r="M199" i="11"/>
  <c r="H132" i="11"/>
  <c r="H125" i="11"/>
  <c r="H119" i="11"/>
  <c r="H108" i="11"/>
  <c r="H58" i="11"/>
  <c r="H218" i="11" s="1"/>
  <c r="H57" i="11"/>
  <c r="H208" i="11" s="1"/>
  <c r="H29" i="11"/>
  <c r="H26" i="11"/>
  <c r="H27" i="11" s="1"/>
  <c r="H25" i="11"/>
  <c r="H23" i="11"/>
  <c r="H18" i="11"/>
  <c r="L205" i="11" l="1"/>
  <c r="L204" i="11" s="1"/>
  <c r="L221" i="11" s="1"/>
  <c r="H21" i="11"/>
  <c r="H211" i="11"/>
  <c r="L200" i="11"/>
  <c r="L201" i="11" s="1"/>
  <c r="M200" i="11"/>
  <c r="M201" i="11" s="1"/>
  <c r="I213" i="11"/>
  <c r="J106" i="11"/>
  <c r="J145" i="11" s="1"/>
  <c r="H190" i="9" l="1"/>
  <c r="H208" i="9"/>
  <c r="H54" i="9"/>
  <c r="J195" i="11" l="1"/>
  <c r="J213" i="11"/>
  <c r="J27" i="11"/>
  <c r="I18" i="11"/>
  <c r="J21" i="11" s="1"/>
  <c r="H162" i="9" l="1"/>
  <c r="J210" i="9"/>
  <c r="J211" i="9"/>
  <c r="J209" i="9"/>
  <c r="J207" i="9"/>
  <c r="I211" i="9"/>
  <c r="I209" i="9"/>
  <c r="I207" i="9"/>
  <c r="H211" i="9"/>
  <c r="H210" i="9"/>
  <c r="H209" i="9"/>
  <c r="H207" i="9"/>
  <c r="H33" i="9"/>
  <c r="I214" i="11"/>
  <c r="H214" i="11"/>
  <c r="I215" i="11"/>
  <c r="K215" i="11"/>
  <c r="N215" i="11"/>
  <c r="J214" i="11" l="1"/>
  <c r="J215" i="11"/>
  <c r="I216" i="11"/>
  <c r="I212" i="11"/>
  <c r="H212" i="11"/>
  <c r="J212" i="11" l="1"/>
  <c r="J216" i="11"/>
  <c r="J33" i="11" l="1"/>
  <c r="J40" i="11" s="1"/>
  <c r="J50" i="11" s="1"/>
  <c r="J179" i="11"/>
  <c r="J180" i="11" s="1"/>
  <c r="J199" i="11" s="1"/>
  <c r="I220" i="11" l="1"/>
  <c r="I219" i="11"/>
  <c r="I211" i="11"/>
  <c r="I210" i="11"/>
  <c r="I209" i="11"/>
  <c r="I207" i="11"/>
  <c r="I198" i="11"/>
  <c r="I195" i="11"/>
  <c r="I179" i="11"/>
  <c r="I173" i="11"/>
  <c r="I168" i="11"/>
  <c r="I142" i="11"/>
  <c r="I144" i="11" s="1"/>
  <c r="I141" i="11"/>
  <c r="I132" i="11"/>
  <c r="I125" i="11"/>
  <c r="I119" i="11"/>
  <c r="I108" i="11"/>
  <c r="I58" i="11"/>
  <c r="I218" i="11" s="1"/>
  <c r="I57" i="11"/>
  <c r="I208" i="11" s="1"/>
  <c r="I49" i="11"/>
  <c r="I46" i="11"/>
  <c r="I44" i="11"/>
  <c r="I42" i="11"/>
  <c r="I37" i="11"/>
  <c r="I35" i="11"/>
  <c r="I29" i="11"/>
  <c r="I27" i="11"/>
  <c r="I25" i="11"/>
  <c r="I23" i="11"/>
  <c r="I21" i="11"/>
  <c r="I217" i="11" l="1"/>
  <c r="I180" i="11"/>
  <c r="I106" i="11"/>
  <c r="I145" i="11" s="1"/>
  <c r="I40" i="11"/>
  <c r="I50" i="11" s="1"/>
  <c r="I206" i="11"/>
  <c r="I199" i="11"/>
  <c r="N220" i="11"/>
  <c r="K220" i="11"/>
  <c r="N219" i="11"/>
  <c r="K219" i="11"/>
  <c r="H219" i="11"/>
  <c r="J219" i="11" s="1"/>
  <c r="J217" i="11" s="1"/>
  <c r="N211" i="11"/>
  <c r="K211" i="11"/>
  <c r="M211" i="11" s="1"/>
  <c r="J211" i="11"/>
  <c r="N210" i="11"/>
  <c r="K210" i="11"/>
  <c r="J210" i="11"/>
  <c r="H209" i="11"/>
  <c r="J209" i="11" s="1"/>
  <c r="N208" i="11"/>
  <c r="K208" i="11"/>
  <c r="M208" i="11" s="1"/>
  <c r="N207" i="11"/>
  <c r="K207" i="11"/>
  <c r="J207" i="11"/>
  <c r="K198" i="11"/>
  <c r="H198" i="11"/>
  <c r="N195" i="11"/>
  <c r="N199" i="11" s="1"/>
  <c r="K195" i="11"/>
  <c r="K179" i="11"/>
  <c r="K180" i="11" s="1"/>
  <c r="H173" i="11"/>
  <c r="H180" i="11" s="1"/>
  <c r="N168" i="11"/>
  <c r="K168" i="11"/>
  <c r="H168" i="11"/>
  <c r="N144" i="11"/>
  <c r="K144" i="11"/>
  <c r="H142" i="11"/>
  <c r="H144" i="11" s="1"/>
  <c r="K141" i="11"/>
  <c r="H141" i="11"/>
  <c r="K137" i="11"/>
  <c r="N132" i="11"/>
  <c r="K132" i="11"/>
  <c r="N130" i="11"/>
  <c r="K130" i="11"/>
  <c r="N120" i="11"/>
  <c r="N125" i="11" s="1"/>
  <c r="K120" i="11"/>
  <c r="K125" i="11" s="1"/>
  <c r="N109" i="11"/>
  <c r="N119" i="11" s="1"/>
  <c r="K109" i="11"/>
  <c r="K119" i="11" s="1"/>
  <c r="N108" i="11"/>
  <c r="K108" i="11"/>
  <c r="N58" i="11"/>
  <c r="N218" i="11" s="1"/>
  <c r="K58" i="11"/>
  <c r="K218" i="11" s="1"/>
  <c r="J208" i="11"/>
  <c r="N56" i="11"/>
  <c r="N209" i="11" s="1"/>
  <c r="K56" i="11"/>
  <c r="K209" i="11" s="1"/>
  <c r="H106" i="11"/>
  <c r="N49" i="11"/>
  <c r="K49" i="11"/>
  <c r="H49" i="11"/>
  <c r="N45" i="11"/>
  <c r="N46" i="11" s="1"/>
  <c r="K45" i="11"/>
  <c r="K46" i="11" s="1"/>
  <c r="H45" i="11"/>
  <c r="N44" i="11"/>
  <c r="K44" i="11"/>
  <c r="H44" i="11"/>
  <c r="N42" i="11"/>
  <c r="K42" i="11"/>
  <c r="H42" i="11"/>
  <c r="N37" i="11"/>
  <c r="K37" i="11"/>
  <c r="H37" i="11"/>
  <c r="N35" i="11"/>
  <c r="K35" i="11"/>
  <c r="H35" i="11"/>
  <c r="K33" i="11"/>
  <c r="N29" i="11"/>
  <c r="K29" i="11"/>
  <c r="N27" i="11"/>
  <c r="K27" i="11"/>
  <c r="N25" i="11"/>
  <c r="K25" i="11"/>
  <c r="N23" i="11"/>
  <c r="K23" i="11"/>
  <c r="N21" i="11"/>
  <c r="K21" i="11"/>
  <c r="H46" i="11" l="1"/>
  <c r="H206" i="11"/>
  <c r="H205" i="11" s="1"/>
  <c r="H204" i="11" s="1"/>
  <c r="H199" i="11"/>
  <c r="I205" i="11"/>
  <c r="I204" i="11" s="1"/>
  <c r="I221" i="11" s="1"/>
  <c r="H217" i="11"/>
  <c r="K217" i="11"/>
  <c r="N217" i="11"/>
  <c r="K199" i="11"/>
  <c r="N40" i="11"/>
  <c r="N50" i="11" s="1"/>
  <c r="I200" i="11"/>
  <c r="I201" i="11" s="1"/>
  <c r="H40" i="11"/>
  <c r="H50" i="11" s="1"/>
  <c r="K40" i="11"/>
  <c r="K50" i="11" s="1"/>
  <c r="H145" i="11"/>
  <c r="K206" i="11"/>
  <c r="M206" i="11" s="1"/>
  <c r="K106" i="11"/>
  <c r="K145" i="11" s="1"/>
  <c r="N206" i="11"/>
  <c r="N106" i="11"/>
  <c r="N145" i="11" s="1"/>
  <c r="M220" i="11" l="1"/>
  <c r="M215" i="11"/>
  <c r="M209" i="11"/>
  <c r="M218" i="11"/>
  <c r="M210" i="11"/>
  <c r="M219" i="11"/>
  <c r="M207" i="11"/>
  <c r="J168" i="11"/>
  <c r="J200" i="11" s="1"/>
  <c r="J201" i="11" s="1"/>
  <c r="K205" i="11"/>
  <c r="N205" i="11"/>
  <c r="J206" i="11"/>
  <c r="J205" i="11" s="1"/>
  <c r="N200" i="11"/>
  <c r="N201" i="11" s="1"/>
  <c r="H200" i="11"/>
  <c r="H201" i="11" s="1"/>
  <c r="K200" i="11"/>
  <c r="K201" i="11" s="1"/>
  <c r="H221" i="11"/>
  <c r="H58" i="9"/>
  <c r="H57" i="9"/>
  <c r="M205" i="11" l="1"/>
  <c r="M204" i="11" s="1"/>
  <c r="M217" i="11"/>
  <c r="N204" i="11"/>
  <c r="N221" i="11" s="1"/>
  <c r="K204" i="11"/>
  <c r="K221" i="11" s="1"/>
  <c r="J204" i="11"/>
  <c r="H174" i="9"/>
  <c r="M221" i="11" l="1"/>
  <c r="J221" i="11"/>
  <c r="H106" i="9"/>
  <c r="J120" i="9" l="1"/>
  <c r="I120" i="9"/>
  <c r="J45" i="9"/>
  <c r="I45" i="9"/>
  <c r="J109" i="9"/>
  <c r="I109" i="9"/>
  <c r="J190" i="9" l="1"/>
  <c r="I190" i="9"/>
  <c r="I162" i="9" l="1"/>
  <c r="J162" i="9"/>
  <c r="H141" i="9"/>
  <c r="I125" i="9"/>
  <c r="J125" i="9"/>
  <c r="H125" i="9"/>
  <c r="I119" i="9"/>
  <c r="J119" i="9"/>
  <c r="H119" i="9"/>
  <c r="J58" i="9" l="1"/>
  <c r="I58" i="9"/>
  <c r="J56" i="9"/>
  <c r="I56" i="9"/>
  <c r="I106" i="9" l="1"/>
  <c r="J106" i="9"/>
  <c r="J215" i="9" l="1"/>
  <c r="I215" i="9"/>
  <c r="H215" i="9"/>
  <c r="J214" i="9"/>
  <c r="I214" i="9"/>
  <c r="H214" i="9"/>
  <c r="J213" i="9"/>
  <c r="I213" i="9"/>
  <c r="H213" i="9"/>
  <c r="I206" i="9"/>
  <c r="J205" i="9"/>
  <c r="I205" i="9"/>
  <c r="H205" i="9"/>
  <c r="J204" i="9"/>
  <c r="I204" i="9"/>
  <c r="H204" i="9"/>
  <c r="J203" i="9"/>
  <c r="I203" i="9"/>
  <c r="H203" i="9"/>
  <c r="I210" i="9"/>
  <c r="J202" i="9"/>
  <c r="I202" i="9"/>
  <c r="H202" i="9"/>
  <c r="I193" i="9"/>
  <c r="H193" i="9"/>
  <c r="H168" i="9"/>
  <c r="H163" i="9"/>
  <c r="J163" i="9"/>
  <c r="I163" i="9"/>
  <c r="J144" i="9"/>
  <c r="I144" i="9"/>
  <c r="H142" i="9"/>
  <c r="H144" i="9" s="1"/>
  <c r="I141" i="9"/>
  <c r="I137" i="9"/>
  <c r="J132" i="9"/>
  <c r="I132" i="9"/>
  <c r="H132" i="9"/>
  <c r="J108" i="9"/>
  <c r="I108" i="9"/>
  <c r="H108" i="9"/>
  <c r="J49" i="9"/>
  <c r="I49" i="9"/>
  <c r="H49" i="9"/>
  <c r="J46" i="9"/>
  <c r="H201" i="9"/>
  <c r="J44" i="9"/>
  <c r="I44" i="9"/>
  <c r="H44" i="9"/>
  <c r="J42" i="9"/>
  <c r="I42" i="9"/>
  <c r="H42" i="9"/>
  <c r="J37" i="9"/>
  <c r="I37" i="9"/>
  <c r="H37" i="9"/>
  <c r="J35" i="9"/>
  <c r="I35" i="9"/>
  <c r="H35" i="9"/>
  <c r="I33" i="9"/>
  <c r="J29" i="9"/>
  <c r="I29" i="9"/>
  <c r="H29" i="9"/>
  <c r="J27" i="9"/>
  <c r="I27" i="9"/>
  <c r="H27" i="9"/>
  <c r="J25" i="9"/>
  <c r="I25" i="9"/>
  <c r="H25" i="9"/>
  <c r="I23" i="9"/>
  <c r="H23" i="9"/>
  <c r="J206" i="9"/>
  <c r="J21" i="9"/>
  <c r="I21" i="9"/>
  <c r="H21" i="9"/>
  <c r="H40" i="9" l="1"/>
  <c r="H175" i="9"/>
  <c r="H194" i="9" s="1"/>
  <c r="I175" i="9"/>
  <c r="I194" i="9" s="1"/>
  <c r="H145" i="9"/>
  <c r="J194" i="9"/>
  <c r="I212" i="9"/>
  <c r="J212" i="9"/>
  <c r="H212" i="9"/>
  <c r="I201" i="9"/>
  <c r="I200" i="9" s="1"/>
  <c r="I199" i="9" s="1"/>
  <c r="I145" i="9"/>
  <c r="I40" i="9"/>
  <c r="J145" i="9"/>
  <c r="J201" i="9"/>
  <c r="J200" i="9" s="1"/>
  <c r="J199" i="9" s="1"/>
  <c r="J23" i="9"/>
  <c r="J40" i="9" s="1"/>
  <c r="J50" i="9" s="1"/>
  <c r="H206" i="9"/>
  <c r="H200" i="9" s="1"/>
  <c r="H199" i="9" s="1"/>
  <c r="H46" i="9"/>
  <c r="I46" i="9"/>
  <c r="H50" i="9" l="1"/>
  <c r="H216" i="9"/>
  <c r="I216" i="9"/>
  <c r="J216" i="9"/>
  <c r="H195" i="9"/>
  <c r="H196" i="9" s="1"/>
  <c r="J195" i="9"/>
  <c r="J196" i="9" s="1"/>
  <c r="I50" i="9"/>
  <c r="I195" i="9" s="1"/>
  <c r="I196" i="9" s="1"/>
  <c r="K150" i="8" l="1"/>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176" i="8" l="1"/>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J183" i="8" l="1"/>
  <c r="J196" i="8" s="1"/>
</calcChain>
</file>

<file path=xl/comments1.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<sst xmlns="http://schemas.openxmlformats.org/spreadsheetml/2006/main" count="2020" uniqueCount="386">
  <si>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</si>
  <si>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</si>
  <si>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</si>
  <si>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</si>
  <si>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</si>
  <si>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</si>
  <si>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</si>
  <si>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</si>
  <si>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</si>
  <si>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</si>
  <si>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</si>
  <si>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</si>
  <si>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</si>
  <si>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</si>
  <si>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</si>
  <si>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</si>
  <si>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</si>
  <si>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</si>
  <si>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</si>
  <si>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</si>
  <si>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</si>
  <si>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</si>
  <si>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</si>
  <si>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</si>
  <si>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</si>
  <si>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</si>
  <si>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</si>
  <si>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</si>
  <si>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</si>
  <si>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</si>
  <si>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</si>
  <si>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</si>
  <si>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</si>
  <si>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</si>
  <si>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</si>
  <si>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</si>
  <si>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</si>
  <si>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</si>
  <si>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</si>
  <si>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</si>
  <si>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</si>
  <si>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</si>
  <si>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</si>
  <si>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</si>
  <si>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</si>
  <si>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</si>
  <si>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</si>
  <si>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</si>
  <si>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</si>
  <si>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</si>
  <si>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</si>
  <si>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</si>
  <si>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</si>
  <si>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</si>
  <si>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</si>
  <si>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</si>
  <si>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</si>
  <si>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</si>
  <si>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</si>
  <si>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</si>
  <si>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</si>
  <si>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</si>
  <si>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</si>
  <si>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</si>
  <si>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</si>
  <si>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</si>
  <si>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</si>
  <si>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</si>
  <si>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</si>
  <si>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</si>
  <si>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</si>
  <si>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</si>
  <si>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</si>
  <si>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</si>
  <si>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</si>
  <si>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</si>
  <si>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</si>
  <si>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</si>
  <si>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</si>
  <si>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</si>
  <si>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</si>
  <si>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</si>
  <si>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</si>
  <si>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</si>
  <si>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</si>
  <si>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</si>
  <si>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</si>
  <si>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</si>
  <si>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</si>
  <si>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</si>
  <si>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</si>
  <si>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</si>
  <si>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</si>
  <si>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</si>
  <si>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</si>
  <si>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</si>
  <si>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</si>
  <si>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</si>
  <si>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</si>
  <si>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</si>
  <si>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</si>
  <si>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</si>
  <si>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</si>
  <si>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</si>
  <si>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</si>
  <si>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</si>
  <si>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</si>
  <si>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</si>
  <si>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</si>
  <si>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</si>
  <si>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</si>
  <si>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</si>
  <si>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</si>
  <si>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</si>
  <si>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</si>
  <si>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</si>
  <si>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</si>
  <si>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</si>
  <si>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</si>
  <si>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</si>
  <si>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</si>
  <si>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</si>
  <si>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</si>
  <si>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</si>
  <si>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</si>
  <si>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</si>
  <si>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</si>
  <si>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</si>
  <si>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</si>
  <si>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</si>
  <si>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</si>
  <si>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</si>
  <si>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</si>
  <si>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</si>
  <si>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</si>
  <si>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</si>
  <si>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</si>
  <si>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</si>
  <si>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</si>
  <si>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</si>
  <si>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</si>
  <si>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</si>
  <si>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</si>
  <si>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</si>
  <si>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</si>
  <si>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</si>
  <si>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</si>
  <si>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</si>
  <si>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</si>
  <si>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</si>
  <si>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</si>
  <si>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</si>
  <si>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</si>
  <si>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</si>
  <si>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</si>
  <si>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</si>
  <si>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</si>
  <si>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</si>
  <si>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</si>
  <si>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</si>
  <si>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</si>
  <si>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</si>
  <si>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</si>
  <si>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</si>
  <si>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</si>
  <si>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</si>
  <si>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</si>
  <si>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</si>
  <si>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</si>
  <si>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</si>
  <si>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</si>
  <si>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</si>
  <si>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</si>
  <si>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</si>
  <si>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</si>
  <si>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</si>
  <si>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</si>
  <si>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</si>
  <si>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</si>
  <si>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</si>
  <si>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</si>
  <si>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</si>
  <si>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</si>
  <si>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</si>
  <si>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</si>
  <si>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</si>
  <si>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</si>
  <si>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</si>
  <si>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</si>
  <si>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</si>
  <si>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</si>
  <si>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</si>
  <si>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</si>
  <si>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</si>
  <si>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</si>
  <si>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</si>
  <si>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</si>
  <si>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</si>
  <si>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</si>
  <si>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</si>
  <si>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</si>
  <si>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</si>
  <si>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</si>
  <si>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</si>
  <si>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</si>
  <si>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</si>
  <si>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</si>
  <si>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</si>
  <si>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</si>
  <si>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</si>
  <si>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</si>
  <si>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</si>
  <si>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</si>
  <si>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</si>
  <si>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</si>
  <si>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</si>
  <si>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</si>
  <si>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</si>
  <si>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</si>
  <si>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</si>
  <si>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</si>
  <si>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</si>
  <si>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</si>
  <si>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</si>
  <si>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</si>
  <si>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</si>
  <si>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</si>
  <si>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</si>
  <si>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</si>
  <si>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</si>
  <si>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</si>
  <si>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</si>
  <si>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</si>
  <si>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</si>
  <si>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</si>
  <si>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</si>
  <si>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</si>
  <si>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</si>
  <si>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</si>
  <si>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</si>
  <si>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</si>
  <si>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</si>
  <si>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</si>
  <si>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</si>
  <si>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</si>
  <si>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</si>
  <si>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</si>
  <si>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</si>
  <si>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</si>
  <si>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</si>
  <si>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</si>
  <si>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</si>
  <si>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</si>
  <si>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</si>
  <si>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</si>
  <si>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</si>
  <si>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</si>
  <si>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</si>
  <si>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</si>
  <si>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</si>
  <si>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</si>
  <si>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</si>
  <si>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</si>
  <si>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</si>
  <si>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</si>
  <si>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</si>
  <si>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</si>
  <si>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</si>
  <si>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</si>
  <si>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</si>
  <si>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</si>
  <si>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</si>
  <si>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</si>
  <si>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</si>
  <si>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</si>
  <si>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</si>
  <si>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</si>
  <si>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</si>
  <si>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</si>
  <si>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</si>
  <si>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</si>
  <si>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</si>
  <si>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</si>
  <si>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</si>
  <si>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</si>
  <si>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</si>
  <si>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</si>
  <si>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1128</t>
  </si>
  <si>
    <t xml:space="preserve">Budinčio globotojo veiklos organizavimas </t>
  </si>
  <si>
    <t>Rekonstruota dujinė katilinė</t>
  </si>
  <si>
    <t>220/55</t>
  </si>
  <si>
    <t>1</t>
  </si>
  <si>
    <t>Įsigytas automobilis</t>
  </si>
  <si>
    <t xml:space="preserve">Vietų skaičius  intensyvios krizių įveikimo  pagalbos paslaugai gauti </t>
  </si>
  <si>
    <t>Įsigyta apsaugos ir priešgaisrinė sistema, vnt.</t>
  </si>
  <si>
    <t>Įsigyta virtuvės įranga, baldai, vnt.</t>
  </si>
  <si>
    <t>Iš dalies finansuotų projektų skaičius</t>
  </si>
  <si>
    <t>11</t>
  </si>
  <si>
    <t>Suremontuotų butų skaičius</t>
  </si>
  <si>
    <t>2021-ųjų metų lėšų projektas</t>
  </si>
  <si>
    <t>Nupirkta butų, skaičius</t>
  </si>
  <si>
    <t>2021 m. lėšų projektas</t>
  </si>
  <si>
    <t>2021-ieji metai</t>
  </si>
  <si>
    <t>BĮ Klaipėdos miesto šeimos ir vaiko gerovės centro patalpų remontas (Debreceno 48)</t>
  </si>
  <si>
    <t>Atliktas Dienos socialinės priežiūros skyriaus remontas, proc.</t>
  </si>
  <si>
    <t>Suorganizuota renginių, skaičius</t>
  </si>
  <si>
    <t>Kompiuterių įsigijimas naujoms darbo vietoms, vnt.</t>
  </si>
  <si>
    <t xml:space="preserve">Papildomas paslaugų pirkimas vaikams iš socialinės rizikos šeimų, vaikų skaičius </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</si>
  <si>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</si>
  <si>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</si>
  <si>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</si>
  <si>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</si>
  <si>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</si>
  <si>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t>SB(FL)</t>
  </si>
  <si>
    <t xml:space="preserve">2019–2021 M. KLAIPĖDOS MIESTO SAVIVALDYBĖS  </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</si>
  <si>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</si>
  <si>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</si>
  <si>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</si>
  <si>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</si>
  <si>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</si>
  <si>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</si>
  <si>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</si>
  <si>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t xml:space="preserve"> - kovos su prekyba žmonėmis prevencinių priemonių  įgyvendinimas;</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</si>
  <si>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</si>
  <si>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</si>
  <si>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</si>
  <si>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</si>
  <si>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</si>
  <si>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</si>
  <si>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</si>
  <si>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</si>
  <si>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</si>
  <si>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</si>
  <si>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</si>
  <si>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</si>
  <si>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</si>
  <si>
    <r>
      <t>Valstybės biudžeto tikslinės dotacijos lėšų likutis</t>
    </r>
    <r>
      <rPr>
        <b/>
        <sz val="10"/>
        <rFont val="Times New Roman"/>
        <family val="1"/>
        <charset val="186"/>
      </rPr>
      <t xml:space="preserve"> SB(VBL)</t>
    </r>
  </si>
  <si>
    <r>
      <t>Europos Sąjungos finansinės paramos lėšų likučio metų pradžioje lėšos</t>
    </r>
    <r>
      <rPr>
        <b/>
        <sz val="10"/>
        <rFont val="Times New Roman"/>
        <family val="1"/>
        <charset val="186"/>
      </rPr>
      <t xml:space="preserve"> SB(ESL)</t>
    </r>
  </si>
  <si>
    <t>Savivaldybės biudžetas, iš jo:</t>
  </si>
  <si>
    <t>SB(VBL)</t>
  </si>
  <si>
    <t>989</t>
  </si>
  <si>
    <t xml:space="preserve"> - projekto„Vaikų gerovės ir saugumo didinimo, paslaugų šeimai, globėjams (rūpintojams) kokybės didinimo bei prieinamumo plėtra“ įgyvendinimas;</t>
  </si>
  <si>
    <r>
      <t xml:space="preserve">Pajamų imokų likutis </t>
    </r>
    <r>
      <rPr>
        <b/>
        <sz val="10"/>
        <rFont val="Times New Roman"/>
        <family val="1"/>
        <charset val="186"/>
      </rPr>
      <t>SB(SPL)</t>
    </r>
  </si>
  <si>
    <t xml:space="preserve">989 </t>
  </si>
  <si>
    <t>Papriemonės kodas</t>
  </si>
  <si>
    <t>10</t>
  </si>
  <si>
    <t>Vykdytojas</t>
  </si>
  <si>
    <t>SRD Socialinės paramos skyrius</t>
  </si>
  <si>
    <t>MŪD Socialinės infrastruktūros skyrius</t>
  </si>
  <si>
    <t>IED Tarptautinių ryšių ir ekonominės plėtros skyrius</t>
  </si>
  <si>
    <t>IED I. Gustaitienė ir J. Jasiulionienė</t>
  </si>
  <si>
    <t>IED Statybos ir infrastruktūros plėtros skyrius, I. Gustaitienė</t>
  </si>
  <si>
    <t>IED Statybos ir infrastruktūros plėtros skyrius</t>
  </si>
  <si>
    <t>IED J. Vorobjova ir J. Poimanskienė</t>
  </si>
  <si>
    <t>2022-ieji metai</t>
  </si>
  <si>
    <t>2022-ųjų metų lėšų projektas</t>
  </si>
  <si>
    <t>2022 m. lėšų projektas</t>
  </si>
  <si>
    <t>Aiškinamojo rašto priedas Nr.3</t>
  </si>
  <si>
    <t>* Pagal Klaipėdos miesto savivaldybės tarybos 2019-10-31 sprendimą T2-...</t>
  </si>
  <si>
    <t>2019-ųjų metų asignavimų planas*</t>
  </si>
  <si>
    <t>FTD Turto skyrius</t>
  </si>
  <si>
    <t>SB(L)'</t>
  </si>
  <si>
    <t>SB(ESL)'</t>
  </si>
  <si>
    <r>
      <rPr>
        <sz val="10"/>
        <color rgb="FFFF0000"/>
        <rFont val="Times New Roman"/>
        <family val="1"/>
        <charset val="186"/>
      </rPr>
      <t xml:space="preserve">652  </t>
    </r>
    <r>
      <rPr>
        <strike/>
        <sz val="10"/>
        <rFont val="Times New Roman"/>
        <family val="1"/>
        <charset val="186"/>
      </rPr>
      <t>657</t>
    </r>
  </si>
  <si>
    <t>Reikalinga pakoreguoti finansavimo apimtį pagal 2019-06-27 Valstybės biudžeto lėšų naudojimo sutartį J9-1979</t>
  </si>
  <si>
    <t xml:space="preserve">Siūloma mažinti finansavimo apimtį priemonei ir koreguoti vertinimo kriterijų reikšmes, nes augant pensijos dydžiui asmeniui ir nesikeičiant VRP, mažiau asmenų turi teisę kreiptis dėl lengvatos. 
</t>
  </si>
  <si>
    <t>Reikalinga koreguoti priemonės finansavimo apimtį ir rodiklius (finansavimo šaltinis SB(VB)): 1) pagal SADM 2019-07-31 įsakymą Nr. A1-432 ir 2019-08-02 įsakymą Nr. A1-447 (+1385,7 tūkst. €) ir 2) nes suaugusių asmenų su psichine negalia dienos centro padalinys nėra pilnai užpildytas paslaugos gavėjų, todėl esant ne pilnam užimtumui, nebuvo įdarbinta dalis darbuotojų (-14,2 tūkst. €)</t>
  </si>
  <si>
    <t>Siūloma mažinti projekto finansavimo apimtį  2019 m. ir atitinkamai padidinti 2020 m. bei atitinkamai koreguoti vertinimo kriterijaus reikšmes, nes paslaugų teikėjas vėluoja parengti techninį projektą ir darbai bus atlikti 2020 m.</t>
  </si>
  <si>
    <t>Siūloma  sumažinti finansavimo apimtį priemonei, nes rekonstravimo darbai atlikti pigiau, nei planuota</t>
  </si>
  <si>
    <r>
      <t xml:space="preserve">45  </t>
    </r>
    <r>
      <rPr>
        <strike/>
        <sz val="10"/>
        <color rgb="FFFF0000"/>
        <rFont val="Times New Roman"/>
        <family val="1"/>
        <charset val="186"/>
      </rPr>
      <t>90</t>
    </r>
  </si>
  <si>
    <t>Siūloma: 1) mažinti finansavimo apimtį 2019 m. (SB(ES) šaltinį) ir atitinkamai padidinti 2020 m. bei koreguoti vertinimo kriterijaus reikšmes, nes dėl techninio projekto konstrukcinės dalies tikslinimo rangos darbai bus atliekami 2020 m. 2) padidinti investicinio projekto finansinę vertę dėl papildomų darbų poreikio ir kainų indeksavimo, planuojant papildomas SB lėšas 2020 m.</t>
  </si>
  <si>
    <t xml:space="preserve">Reikalinga patikslinti pgal SADM 2019-08-02 įsakymą Nr. A1-447 </t>
  </si>
  <si>
    <t xml:space="preserve">Siūloma mažinti finansavimo apimtį paprieonei, nes nuo 2019 m. padidinus nemokamo maitinimo įkainius, padidėjo ir nemokamo maitinimo gamybos išlaidos.  </t>
  </si>
  <si>
    <t xml:space="preserve">Siūloma mažinti finansavimo apimtį papriemonei, nes vidutinis prižiūrimų vaikų skaičius per mėn.(4 vaikai)  mažesnis nei planuotas (6 vaikai). </t>
  </si>
  <si>
    <r>
      <t xml:space="preserve">540  </t>
    </r>
    <r>
      <rPr>
        <strike/>
        <sz val="10"/>
        <color rgb="FFFF0000"/>
        <rFont val="Times New Roman"/>
        <family val="1"/>
      </rPr>
      <t>450</t>
    </r>
  </si>
  <si>
    <t>Siūloma didinti finansavimo apimtį priemonei, nes 2019 m. rugsėjo mėn. keičiamas Materialinės paramos teikimo tvarkos aprašas, kuris įsigaliotų IV ketv., atsiranda naujų lengvatų, išauga papildomų lėšų poreikis 2019  metams.</t>
  </si>
  <si>
    <t xml:space="preserve">Siūloma padidinti finansavimo apimtėžį šiai papriemonei (SB(SP) šalrinį), nes už teikiamas socialinės globos asmens namuose ir pagalbos  į namus paslaugas planuojama surinkti daugiau nei planuota, nes padidinus pensijas, padaugėjo už paslaugas turinčių mokėti klientų sk. </t>
  </si>
  <si>
    <r>
      <t xml:space="preserve">110  </t>
    </r>
    <r>
      <rPr>
        <strike/>
        <sz val="10"/>
        <color rgb="FFFF0000"/>
        <rFont val="Times New Roman"/>
        <family val="1"/>
        <charset val="186"/>
      </rPr>
      <t>97</t>
    </r>
  </si>
  <si>
    <t xml:space="preserve">Siūloma padidinti finansavimo apimtį priemonei, nes išaugo asmenų kuriems teikiamos paslaugos skaičius nuo 97 iki 110 per mėn. </t>
  </si>
  <si>
    <r>
      <t xml:space="preserve">11 </t>
    </r>
    <r>
      <rPr>
        <strike/>
        <sz val="10"/>
        <color rgb="FFFF0000"/>
        <rFont val="Times New Roman"/>
        <family val="1"/>
      </rPr>
      <t xml:space="preserve"> 13</t>
    </r>
  </si>
  <si>
    <t xml:space="preserve">Siūloma mažinti finansavimo apimtį papriemonei (-11 tūkst.€), nes nepanaudoti asignavimai dėl paslaugos gavėjų nelankytų dienų skaičiaus per metus (dėl ligos, laikino paslaugos sustabdymo atostogų metu). </t>
  </si>
  <si>
    <r>
      <t xml:space="preserve">19 </t>
    </r>
    <r>
      <rPr>
        <strike/>
        <sz val="10"/>
        <color rgb="FFFF0000"/>
        <rFont val="Times New Roman"/>
        <family val="1"/>
      </rPr>
      <t xml:space="preserve"> 20</t>
    </r>
  </si>
  <si>
    <t>Siūloma mažinti finansavimo apimtį papriemonei (-2 tūkst. €), nes nepanaudoti asignavimai dėl paslaugos gavėjų nelankytų dienų skaičiaus per metus (dėl ligos, laikino paslaugos sustabdymo atostogų metu).</t>
  </si>
  <si>
    <r>
      <t xml:space="preserve">150  </t>
    </r>
    <r>
      <rPr>
        <strike/>
        <sz val="10"/>
        <color rgb="FFFF0000"/>
        <rFont val="Times New Roman"/>
        <family val="1"/>
      </rPr>
      <t>120</t>
    </r>
  </si>
  <si>
    <t>Siūloma didinti finansavimo apimtį papriemonei (65 tūkst. €), nes auga paslaugos poreikis, didėja paslaugos gavėjų skaičius. 2019 m. birželio 20 d. pasikeitus pagalbos į namus teikimo tvarkos aprašui, daliai gavėjų sumažėjo mokestis už paslaugas, tuo pačiu padidėjo SB dalis. mirties atveju teikimas, išmokant pašalpas ir kompensacijas (socialinės pašalpos)“ (65 tūkst. Eur)</t>
  </si>
  <si>
    <t xml:space="preserve">11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</si>
</sst>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3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b/>
      <i/>
      <sz val="10"/>
      <name val="Times New Roman"/>
      <family val="1"/>
      <charset val="186"/>
    </font>
    <font>
      <strike/>
      <sz val="10"/>
      <name val="Times New Roman"/>
      <family val="1"/>
    </font>
  </fonts>
  <fills count="12">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s>
  <borders count="8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rgb="FF000000"/>
      </top>
      <bottom style="thin">
        <color rgb="FF000000"/>
      </bottom>
      <diagonal/>
    </border>
  </borders>
  <cellStyleXfs count="2">
    <xf numFmtId="0" fontId="0" fillId="0" borderId="0"/>
    <xf numFmtId="166" fontId="34" fillId="0" borderId="0" applyBorder="0" applyProtection="0"/>
  </cellStyleXfs>
  <cellXfs count="2775">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5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0" borderId="13"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165" fontId="3" fillId="5" borderId="56"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4" borderId="41" xfId="0" applyNumberFormat="1" applyFont="1" applyFill="1" applyBorder="1" applyAlignment="1">
      <alignment vertical="top" wrapText="1"/>
    </xf>
    <xf numFmtId="49" fontId="1" fillId="3" borderId="7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1" fillId="0" borderId="66"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4" fontId="1" fillId="3" borderId="61" xfId="0" applyNumberFormat="1" applyFont="1" applyFill="1" applyBorder="1" applyAlignment="1">
      <alignment horizontal="center" vertical="top"/>
    </xf>
    <xf numFmtId="164" fontId="1" fillId="0" borderId="45" xfId="1" applyNumberFormat="1" applyFont="1" applyFill="1" applyBorder="1" applyAlignment="1">
      <alignment horizontal="center" vertical="top"/>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1" fillId="3" borderId="0" xfId="0" applyNumberFormat="1" applyFont="1" applyFill="1" applyBorder="1" applyAlignment="1">
      <alignment vertical="top"/>
    </xf>
    <xf numFmtId="164" fontId="1" fillId="3" borderId="17"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3" borderId="71"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xf>
    <xf numFmtId="3" fontId="4" fillId="0" borderId="41" xfId="0" applyNumberFormat="1" applyFont="1" applyBorder="1" applyAlignment="1">
      <alignment vertical="center" textRotation="90"/>
    </xf>
    <xf numFmtId="0" fontId="4" fillId="0" borderId="41" xfId="0" applyFont="1" applyFill="1" applyBorder="1" applyAlignment="1">
      <alignment vertical="top" wrapText="1"/>
    </xf>
    <xf numFmtId="164" fontId="4" fillId="0" borderId="0" xfId="0" applyNumberFormat="1" applyFont="1" applyAlignment="1">
      <alignment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49" fontId="1" fillId="0" borderId="41" xfId="1" applyNumberFormat="1" applyFont="1" applyFill="1" applyBorder="1" applyAlignment="1">
      <alignment horizontal="center" vertical="center"/>
    </xf>
    <xf numFmtId="164" fontId="1" fillId="3" borderId="41"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4" borderId="35"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4" fillId="0" borderId="41" xfId="0" applyNumberFormat="1" applyFont="1" applyBorder="1" applyAlignment="1">
      <alignment vertical="top"/>
    </xf>
    <xf numFmtId="3" fontId="1" fillId="3" borderId="46" xfId="0" applyNumberFormat="1" applyFont="1" applyFill="1" applyBorder="1" applyAlignment="1">
      <alignment horizontal="center" vertical="top" wrapText="1"/>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7" fillId="0" borderId="59" xfId="0" applyFont="1" applyBorder="1" applyAlignment="1">
      <alignment vertical="top" wrapText="1"/>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3" fontId="1" fillId="4" borderId="38"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3" borderId="49" xfId="0" applyNumberFormat="1" applyFont="1" applyFill="1" applyBorder="1" applyAlignment="1">
      <alignment vertical="top" wrapText="1"/>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0" fontId="1" fillId="3" borderId="15" xfId="0" applyFont="1" applyFill="1" applyBorder="1" applyAlignment="1">
      <alignment horizontal="center" vertical="top" wrapText="1"/>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 fillId="3" borderId="44" xfId="1"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164" fontId="19" fillId="0" borderId="8" xfId="0" applyNumberFormat="1" applyFont="1" applyBorder="1" applyAlignment="1">
      <alignment horizontal="center" vertical="center" wrapText="1"/>
    </xf>
    <xf numFmtId="164" fontId="1" fillId="4" borderId="35" xfId="0" applyNumberFormat="1" applyFont="1" applyFill="1" applyBorder="1" applyAlignment="1">
      <alignment horizontal="center" vertical="top" wrapText="1"/>
    </xf>
    <xf numFmtId="165" fontId="4" fillId="0" borderId="31" xfId="0" applyNumberFormat="1" applyFont="1" applyBorder="1" applyAlignment="1">
      <alignment horizontal="center" vertical="top" wrapText="1"/>
    </xf>
    <xf numFmtId="164" fontId="1" fillId="0" borderId="31" xfId="1" applyNumberFormat="1" applyFont="1" applyFill="1" applyBorder="1" applyAlignment="1">
      <alignment horizontal="center" vertical="top"/>
    </xf>
    <xf numFmtId="164" fontId="19" fillId="0" borderId="35" xfId="0" applyNumberFormat="1" applyFont="1" applyBorder="1" applyAlignment="1">
      <alignment horizontal="center" vertical="center" wrapText="1"/>
    </xf>
    <xf numFmtId="164" fontId="4" fillId="3" borderId="4" xfId="0" applyNumberFormat="1" applyFont="1" applyFill="1" applyBorder="1" applyAlignment="1">
      <alignment horizontal="center" vertical="top"/>
    </xf>
    <xf numFmtId="0" fontId="4" fillId="3" borderId="13" xfId="0" applyFont="1" applyFill="1" applyBorder="1" applyAlignment="1">
      <alignment horizontal="center" vertical="top"/>
    </xf>
    <xf numFmtId="164" fontId="17" fillId="3" borderId="0" xfId="0" applyNumberFormat="1" applyFont="1" applyFill="1" applyBorder="1" applyAlignment="1">
      <alignment horizontal="center" vertical="top"/>
    </xf>
    <xf numFmtId="3" fontId="1" fillId="3" borderId="13" xfId="0" applyNumberFormat="1" applyFont="1" applyFill="1" applyBorder="1" applyAlignment="1">
      <alignment vertical="top"/>
    </xf>
    <xf numFmtId="3" fontId="4" fillId="0" borderId="13" xfId="0" applyNumberFormat="1" applyFont="1" applyBorder="1" applyAlignment="1">
      <alignment vertical="top"/>
    </xf>
    <xf numFmtId="164" fontId="17" fillId="3" borderId="13" xfId="0" applyNumberFormat="1" applyFont="1" applyFill="1" applyBorder="1" applyAlignment="1">
      <alignment horizontal="center" vertical="top"/>
    </xf>
    <xf numFmtId="164" fontId="1" fillId="0" borderId="41" xfId="1" applyNumberFormat="1" applyFont="1" applyFill="1" applyBorder="1" applyAlignment="1">
      <alignment horizontal="center" vertical="top"/>
    </xf>
    <xf numFmtId="164" fontId="19" fillId="0" borderId="4" xfId="0" applyNumberFormat="1" applyFont="1" applyBorder="1" applyAlignment="1">
      <alignment horizontal="center" vertical="center" wrapText="1"/>
    </xf>
    <xf numFmtId="164" fontId="1" fillId="0" borderId="39" xfId="0" applyNumberFormat="1" applyFont="1" applyBorder="1" applyAlignment="1">
      <alignment horizontal="center" vertical="top" wrapText="1"/>
    </xf>
    <xf numFmtId="164" fontId="1" fillId="3" borderId="11" xfId="0" applyNumberFormat="1" applyFont="1" applyFill="1" applyBorder="1" applyAlignment="1">
      <alignment horizontal="center" vertical="top" wrapText="1"/>
    </xf>
    <xf numFmtId="165" fontId="3" fillId="5" borderId="20"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5" fontId="6" fillId="5" borderId="20" xfId="0" applyNumberFormat="1" applyFont="1" applyFill="1" applyBorder="1" applyAlignment="1">
      <alignment horizontal="center" vertical="top" wrapText="1"/>
    </xf>
    <xf numFmtId="165" fontId="6" fillId="5" borderId="57"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xf>
    <xf numFmtId="164" fontId="6" fillId="5" borderId="20" xfId="0" applyNumberFormat="1" applyFont="1" applyFill="1" applyBorder="1" applyAlignment="1">
      <alignment horizontal="center" vertical="top"/>
    </xf>
    <xf numFmtId="164" fontId="1"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3" xfId="0" applyNumberFormat="1" applyFont="1" applyBorder="1" applyAlignment="1">
      <alignment horizontal="center" vertical="top" wrapText="1"/>
    </xf>
    <xf numFmtId="164" fontId="4" fillId="3"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wrapText="1"/>
    </xf>
    <xf numFmtId="164" fontId="1" fillId="0" borderId="43"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6" fillId="5" borderId="43" xfId="0" applyNumberFormat="1" applyFont="1" applyFill="1" applyBorder="1" applyAlignment="1">
      <alignment horizontal="center" vertical="top"/>
    </xf>
    <xf numFmtId="164" fontId="6" fillId="3" borderId="19"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0" fontId="4" fillId="3" borderId="32" xfId="0" applyFont="1" applyFill="1" applyBorder="1" applyAlignment="1">
      <alignment horizontal="center" vertical="top" wrapText="1"/>
    </xf>
    <xf numFmtId="49" fontId="4" fillId="0" borderId="15"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49" fontId="4" fillId="3" borderId="15" xfId="0" applyNumberFormat="1" applyFont="1" applyFill="1" applyBorder="1" applyAlignment="1">
      <alignment horizontal="center" vertical="top"/>
    </xf>
    <xf numFmtId="0" fontId="1" fillId="3" borderId="6" xfId="0"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3" fillId="9" borderId="23"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164" fontId="1" fillId="5" borderId="12" xfId="0" applyNumberFormat="1" applyFont="1" applyFill="1" applyBorder="1" applyAlignment="1">
      <alignment horizontal="center" vertical="top" wrapText="1"/>
    </xf>
    <xf numFmtId="164" fontId="1" fillId="5" borderId="21" xfId="0" applyNumberFormat="1" applyFont="1" applyFill="1" applyBorder="1" applyAlignment="1">
      <alignment horizontal="center" vertical="top" wrapText="1"/>
    </xf>
    <xf numFmtId="164" fontId="1" fillId="5" borderId="30" xfId="0" applyNumberFormat="1" applyFont="1" applyFill="1" applyBorder="1" applyAlignment="1">
      <alignment horizontal="center" vertical="top" wrapText="1"/>
    </xf>
    <xf numFmtId="164" fontId="1" fillId="5" borderId="19" xfId="0" applyNumberFormat="1" applyFont="1" applyFill="1" applyBorder="1" applyAlignment="1">
      <alignment horizontal="center" vertical="top" wrapText="1"/>
    </xf>
    <xf numFmtId="164" fontId="6" fillId="5" borderId="12" xfId="0" applyNumberFormat="1" applyFont="1" applyFill="1" applyBorder="1" applyAlignment="1">
      <alignment horizontal="center" vertical="top" wrapText="1"/>
    </xf>
    <xf numFmtId="164" fontId="4" fillId="4" borderId="30" xfId="0" applyNumberFormat="1" applyFont="1" applyFill="1" applyBorder="1" applyAlignment="1">
      <alignment horizontal="center" vertical="top" wrapText="1"/>
    </xf>
    <xf numFmtId="164" fontId="4" fillId="4" borderId="12" xfId="0" applyNumberFormat="1" applyFont="1" applyFill="1" applyBorder="1" applyAlignment="1">
      <alignment horizontal="center" vertical="top" wrapText="1"/>
    </xf>
    <xf numFmtId="164" fontId="4" fillId="4" borderId="11"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6" fillId="5" borderId="30"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wrapText="1"/>
    </xf>
    <xf numFmtId="164" fontId="1" fillId="5" borderId="42"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wrapText="1"/>
    </xf>
    <xf numFmtId="164" fontId="1" fillId="5" borderId="31" xfId="0" applyNumberFormat="1" applyFont="1" applyFill="1" applyBorder="1" applyAlignment="1">
      <alignment horizontal="center" vertical="top" wrapText="1"/>
    </xf>
    <xf numFmtId="164" fontId="6" fillId="8" borderId="3"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6" fillId="8" borderId="12" xfId="0" applyNumberFormat="1" applyFont="1" applyFill="1" applyBorder="1" applyAlignment="1">
      <alignment horizontal="center" vertical="top" wrapText="1"/>
    </xf>
    <xf numFmtId="164" fontId="6" fillId="5" borderId="27" xfId="0" applyNumberFormat="1" applyFont="1" applyFill="1" applyBorder="1" applyAlignment="1">
      <alignment horizontal="center" vertical="top" wrapText="1"/>
    </xf>
    <xf numFmtId="164" fontId="6" fillId="5" borderId="3" xfId="0" applyNumberFormat="1" applyFont="1" applyFill="1" applyBorder="1" applyAlignment="1">
      <alignment horizontal="center" vertical="top" wrapText="1"/>
    </xf>
    <xf numFmtId="164" fontId="6" fillId="5" borderId="29" xfId="0" applyNumberFormat="1" applyFont="1" applyFill="1" applyBorder="1" applyAlignment="1">
      <alignment horizontal="center" vertical="top" wrapText="1"/>
    </xf>
    <xf numFmtId="164" fontId="6" fillId="8" borderId="82"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wrapText="1"/>
    </xf>
    <xf numFmtId="3" fontId="4" fillId="4" borderId="0"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0" fontId="1" fillId="3" borderId="51" xfId="0" applyFont="1" applyFill="1" applyBorder="1" applyAlignment="1">
      <alignment vertical="top" wrapText="1"/>
    </xf>
    <xf numFmtId="3" fontId="4" fillId="4" borderId="1" xfId="0" applyNumberFormat="1" applyFont="1" applyFill="1" applyBorder="1" applyAlignment="1">
      <alignment horizontal="left" vertical="top" wrapText="1"/>
    </xf>
    <xf numFmtId="3" fontId="1" fillId="0" borderId="1" xfId="0" applyNumberFormat="1" applyFont="1" applyBorder="1" applyAlignment="1">
      <alignment horizontal="center" vertical="center" textRotation="90"/>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0" xfId="1" applyNumberFormat="1" applyFont="1" applyFill="1" applyBorder="1" applyAlignment="1">
      <alignment horizontal="center" vertical="top"/>
    </xf>
    <xf numFmtId="3" fontId="4" fillId="0" borderId="52" xfId="0" applyNumberFormat="1" applyFont="1" applyBorder="1" applyAlignment="1">
      <alignment vertical="center" textRotation="90"/>
    </xf>
    <xf numFmtId="0" fontId="1" fillId="3" borderId="0" xfId="0" applyFont="1" applyFill="1" applyBorder="1" applyAlignment="1">
      <alignment vertical="top" wrapText="1"/>
    </xf>
    <xf numFmtId="164" fontId="1" fillId="10" borderId="52" xfId="1" applyNumberFormat="1" applyFont="1" applyFill="1" applyBorder="1" applyAlignment="1">
      <alignment horizontal="center" vertical="top"/>
    </xf>
    <xf numFmtId="3" fontId="4" fillId="3" borderId="30" xfId="0" applyNumberFormat="1" applyFont="1" applyFill="1" applyBorder="1" applyAlignment="1">
      <alignment horizontal="center" vertical="top" wrapText="1"/>
    </xf>
    <xf numFmtId="164" fontId="1" fillId="5" borderId="18"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xf>
    <xf numFmtId="3" fontId="4" fillId="0" borderId="51" xfId="0" applyNumberFormat="1" applyFont="1" applyFill="1" applyBorder="1" applyAlignment="1">
      <alignment horizontal="center" vertical="top" textRotation="180" wrapText="1"/>
    </xf>
    <xf numFmtId="3" fontId="3"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164" fontId="1" fillId="10" borderId="13" xfId="1" applyNumberFormat="1" applyFont="1" applyFill="1" applyBorder="1" applyAlignment="1">
      <alignment horizontal="center" vertical="top"/>
    </xf>
    <xf numFmtId="164" fontId="1" fillId="10" borderId="12" xfId="1"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17" fillId="0" borderId="0" xfId="0" applyNumberFormat="1" applyFont="1" applyFill="1" applyBorder="1" applyAlignment="1">
      <alignment horizontal="center" vertical="top"/>
    </xf>
    <xf numFmtId="164" fontId="1" fillId="3" borderId="18" xfId="0" applyNumberFormat="1" applyFont="1" applyFill="1" applyBorder="1" applyAlignment="1">
      <alignment horizontal="center" vertical="top" wrapText="1"/>
    </xf>
    <xf numFmtId="165" fontId="6" fillId="5" borderId="56" xfId="0" applyNumberFormat="1" applyFont="1" applyFill="1" applyBorder="1" applyAlignment="1">
      <alignment horizontal="center" vertical="top" wrapText="1"/>
    </xf>
    <xf numFmtId="164" fontId="4" fillId="0" borderId="0" xfId="0" applyNumberFormat="1" applyFont="1" applyBorder="1" applyAlignment="1">
      <alignment horizontal="center" vertical="top" wrapText="1"/>
    </xf>
    <xf numFmtId="164" fontId="1" fillId="3" borderId="31" xfId="1" applyNumberFormat="1" applyFont="1" applyFill="1" applyBorder="1" applyAlignment="1">
      <alignment horizontal="center" vertical="top"/>
    </xf>
    <xf numFmtId="164" fontId="1" fillId="11" borderId="18" xfId="1" applyNumberFormat="1" applyFont="1" applyFill="1" applyBorder="1" applyAlignment="1">
      <alignment horizontal="center" vertical="top"/>
    </xf>
    <xf numFmtId="164" fontId="1" fillId="11" borderId="0" xfId="1" applyNumberFormat="1" applyFont="1" applyFill="1" applyBorder="1" applyAlignment="1">
      <alignment horizontal="center" vertical="top"/>
    </xf>
    <xf numFmtId="164" fontId="6" fillId="2" borderId="9" xfId="0" applyNumberFormat="1" applyFont="1" applyFill="1" applyBorder="1" applyAlignment="1">
      <alignment horizontal="center" vertical="top"/>
    </xf>
    <xf numFmtId="164" fontId="6" fillId="8" borderId="35" xfId="0" applyNumberFormat="1" applyFont="1" applyFill="1" applyBorder="1" applyAlignment="1">
      <alignment horizontal="center" vertical="top" wrapText="1"/>
    </xf>
    <xf numFmtId="164" fontId="6" fillId="5" borderId="18"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6" fillId="8" borderId="18"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xf>
    <xf numFmtId="164" fontId="4" fillId="3" borderId="27" xfId="0" applyNumberFormat="1" applyFont="1" applyFill="1" applyBorder="1" applyAlignment="1">
      <alignment horizontal="center" vertical="top"/>
    </xf>
    <xf numFmtId="0" fontId="4" fillId="3" borderId="27" xfId="0" applyFont="1" applyFill="1" applyBorder="1" applyAlignment="1">
      <alignment horizontal="center" vertical="top"/>
    </xf>
    <xf numFmtId="164" fontId="4" fillId="3" borderId="19" xfId="0" applyNumberFormat="1" applyFont="1" applyFill="1" applyBorder="1" applyAlignment="1">
      <alignment horizontal="center" vertical="top"/>
    </xf>
    <xf numFmtId="165" fontId="6" fillId="2" borderId="10"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0" fontId="4" fillId="3" borderId="29" xfId="0" applyFont="1" applyFill="1" applyBorder="1" applyAlignment="1">
      <alignment horizontal="center" vertical="top"/>
    </xf>
    <xf numFmtId="164" fontId="17" fillId="0" borderId="41" xfId="0" applyNumberFormat="1" applyFont="1" applyFill="1" applyBorder="1" applyAlignment="1">
      <alignment horizontal="center" vertical="top"/>
    </xf>
    <xf numFmtId="164" fontId="4" fillId="0" borderId="41" xfId="0" applyNumberFormat="1" applyFont="1" applyBorder="1" applyAlignment="1">
      <alignment horizontal="center" vertical="top" wrapText="1"/>
    </xf>
    <xf numFmtId="165" fontId="6" fillId="5" borderId="26" xfId="0" applyNumberFormat="1" applyFont="1" applyFill="1" applyBorder="1" applyAlignment="1">
      <alignment horizontal="center" vertical="top" wrapText="1"/>
    </xf>
    <xf numFmtId="164" fontId="1" fillId="3" borderId="42" xfId="1" applyNumberFormat="1" applyFont="1" applyFill="1" applyBorder="1" applyAlignment="1">
      <alignment horizontal="center" vertical="top"/>
    </xf>
    <xf numFmtId="164" fontId="1" fillId="11" borderId="30" xfId="1" applyNumberFormat="1" applyFont="1" applyFill="1" applyBorder="1" applyAlignment="1">
      <alignment horizontal="center" vertical="top"/>
    </xf>
    <xf numFmtId="164" fontId="1" fillId="11" borderId="49" xfId="1" applyNumberFormat="1" applyFont="1" applyFill="1" applyBorder="1" applyAlignment="1">
      <alignment horizontal="center" vertical="top"/>
    </xf>
    <xf numFmtId="164" fontId="1" fillId="11" borderId="41" xfId="1" applyNumberFormat="1" applyFont="1" applyFill="1" applyBorder="1" applyAlignment="1">
      <alignment horizontal="center" vertical="top"/>
    </xf>
    <xf numFmtId="165" fontId="3" fillId="5" borderId="26" xfId="0" applyNumberFormat="1" applyFont="1" applyFill="1" applyBorder="1" applyAlignment="1">
      <alignment horizontal="center" vertical="top" wrapText="1"/>
    </xf>
    <xf numFmtId="164" fontId="1" fillId="11" borderId="13" xfId="1" applyNumberFormat="1" applyFont="1" applyFill="1" applyBorder="1" applyAlignment="1">
      <alignment horizontal="center" vertical="top"/>
    </xf>
    <xf numFmtId="164" fontId="7" fillId="0" borderId="3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6" fillId="8" borderId="38" xfId="0" applyNumberFormat="1" applyFont="1" applyFill="1" applyBorder="1" applyAlignment="1">
      <alignment horizontal="center" vertical="top" wrapText="1"/>
    </xf>
    <xf numFmtId="164" fontId="6" fillId="5" borderId="46"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40" xfId="0" applyNumberFormat="1" applyFont="1" applyBorder="1" applyAlignment="1">
      <alignment horizontal="center" vertical="top" wrapText="1"/>
    </xf>
    <xf numFmtId="164" fontId="1" fillId="5" borderId="46" xfId="0" applyNumberFormat="1" applyFont="1" applyFill="1" applyBorder="1" applyAlignment="1">
      <alignment horizontal="center" vertical="top" wrapText="1"/>
    </xf>
    <xf numFmtId="164" fontId="1" fillId="5" borderId="40" xfId="0" applyNumberFormat="1" applyFont="1" applyFill="1" applyBorder="1" applyAlignment="1">
      <alignment horizontal="center" vertical="top" wrapText="1"/>
    </xf>
    <xf numFmtId="164" fontId="6" fillId="8" borderId="46"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1" fillId="3" borderId="46" xfId="0" applyNumberFormat="1" applyFont="1" applyFill="1" applyBorder="1" applyAlignment="1">
      <alignment horizontal="center" vertical="top"/>
    </xf>
    <xf numFmtId="165" fontId="3" fillId="5" borderId="58"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164" fontId="6" fillId="2" borderId="82" xfId="0" applyNumberFormat="1" applyFont="1" applyFill="1" applyBorder="1" applyAlignment="1">
      <alignment horizontal="center" vertical="top"/>
    </xf>
    <xf numFmtId="164" fontId="3" fillId="7" borderId="82"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4" fillId="3" borderId="38"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6" xfId="0" applyNumberFormat="1" applyFont="1" applyFill="1" applyBorder="1" applyAlignment="1">
      <alignment horizontal="center" vertical="top" wrapText="1"/>
    </xf>
    <xf numFmtId="164" fontId="1" fillId="0" borderId="40" xfId="1" applyNumberFormat="1" applyFont="1" applyFill="1" applyBorder="1" applyAlignment="1">
      <alignment horizontal="center" vertical="top"/>
    </xf>
    <xf numFmtId="164" fontId="4" fillId="3" borderId="16" xfId="0" applyNumberFormat="1" applyFont="1" applyFill="1" applyBorder="1" applyAlignment="1">
      <alignment horizontal="center" vertical="top"/>
    </xf>
    <xf numFmtId="164" fontId="4" fillId="3" borderId="4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xf>
    <xf numFmtId="164" fontId="3" fillId="2" borderId="82"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164" fontId="17" fillId="0" borderId="16" xfId="0" applyNumberFormat="1" applyFont="1" applyFill="1" applyBorder="1" applyAlignment="1">
      <alignment horizontal="center" vertical="top"/>
    </xf>
    <xf numFmtId="165" fontId="6" fillId="5" borderId="58"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6" fillId="5" borderId="40"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5" fontId="4" fillId="0" borderId="7" xfId="0" applyNumberFormat="1" applyFont="1" applyBorder="1" applyAlignment="1">
      <alignment horizontal="center" vertical="top" wrapText="1"/>
    </xf>
    <xf numFmtId="165" fontId="4" fillId="0" borderId="40" xfId="0" applyNumberFormat="1" applyFont="1" applyBorder="1" applyAlignment="1">
      <alignment horizontal="center" vertical="top" wrapText="1"/>
    </xf>
    <xf numFmtId="164" fontId="4"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xf>
    <xf numFmtId="164" fontId="4" fillId="3" borderId="7"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xf>
    <xf numFmtId="164" fontId="4" fillId="0" borderId="7" xfId="0" applyNumberFormat="1" applyFont="1" applyBorder="1" applyAlignment="1">
      <alignment horizontal="center" vertical="top" wrapText="1"/>
    </xf>
    <xf numFmtId="164" fontId="4" fillId="3" borderId="46"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wrapText="1"/>
    </xf>
    <xf numFmtId="164" fontId="4" fillId="4" borderId="48" xfId="0" applyNumberFormat="1" applyFont="1" applyFill="1" applyBorder="1" applyAlignment="1">
      <alignment horizontal="center" vertical="top" wrapText="1"/>
    </xf>
    <xf numFmtId="164" fontId="3" fillId="5" borderId="16"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1" fillId="3" borderId="41" xfId="0" applyNumberFormat="1" applyFont="1" applyFill="1" applyBorder="1" applyAlignment="1">
      <alignment horizontal="center" vertical="top"/>
    </xf>
    <xf numFmtId="3" fontId="1" fillId="3" borderId="39" xfId="0" applyNumberFormat="1" applyFont="1" applyFill="1" applyBorder="1" applyAlignment="1">
      <alignment vertical="top"/>
    </xf>
    <xf numFmtId="3" fontId="1" fillId="3" borderId="15" xfId="0" applyNumberFormat="1" applyFont="1" applyFill="1" applyBorder="1" applyAlignment="1">
      <alignment vertical="top"/>
    </xf>
    <xf numFmtId="3" fontId="4" fillId="0" borderId="39" xfId="0" applyNumberFormat="1" applyFont="1" applyBorder="1" applyAlignment="1">
      <alignment vertical="top"/>
    </xf>
    <xf numFmtId="3" fontId="4" fillId="0" borderId="15" xfId="0" applyNumberFormat="1" applyFont="1" applyBorder="1" applyAlignment="1">
      <alignment vertical="top"/>
    </xf>
    <xf numFmtId="164" fontId="17" fillId="3" borderId="39" xfId="0" applyNumberFormat="1" applyFont="1" applyFill="1" applyBorder="1" applyAlignment="1">
      <alignment horizontal="center" vertical="top"/>
    </xf>
    <xf numFmtId="164" fontId="17" fillId="3" borderId="15" xfId="0" applyNumberFormat="1" applyFont="1" applyFill="1" applyBorder="1" applyAlignment="1">
      <alignment horizontal="center" vertical="top"/>
    </xf>
    <xf numFmtId="164" fontId="1" fillId="0" borderId="32" xfId="1" applyNumberFormat="1" applyFont="1" applyFill="1" applyBorder="1" applyAlignment="1">
      <alignment horizontal="center" vertical="top"/>
    </xf>
    <xf numFmtId="164" fontId="1" fillId="10" borderId="19" xfId="1" applyNumberFormat="1" applyFont="1" applyFill="1" applyBorder="1" applyAlignment="1">
      <alignment horizontal="center" vertical="top"/>
    </xf>
    <xf numFmtId="164" fontId="1" fillId="10" borderId="39" xfId="1" applyNumberFormat="1" applyFont="1" applyFill="1" applyBorder="1" applyAlignment="1">
      <alignment horizontal="center" vertical="top"/>
    </xf>
    <xf numFmtId="164" fontId="1" fillId="10" borderId="32" xfId="1" applyNumberFormat="1" applyFont="1" applyFill="1" applyBorder="1" applyAlignment="1">
      <alignment horizontal="center" vertical="top"/>
    </xf>
    <xf numFmtId="164" fontId="1" fillId="10" borderId="11" xfId="1"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8" borderId="24" xfId="0" applyNumberFormat="1" applyFont="1" applyFill="1" applyBorder="1" applyAlignment="1">
      <alignment horizontal="center" vertical="top" wrapText="1"/>
    </xf>
    <xf numFmtId="3" fontId="1" fillId="3" borderId="53" xfId="0" applyNumberFormat="1" applyFont="1" applyFill="1" applyBorder="1" applyAlignment="1">
      <alignment horizontal="left" vertical="top" wrapText="1"/>
    </xf>
    <xf numFmtId="3" fontId="4" fillId="3" borderId="39" xfId="0" applyNumberFormat="1" applyFont="1" applyFill="1" applyBorder="1" applyAlignment="1">
      <alignment vertical="top" wrapText="1"/>
    </xf>
    <xf numFmtId="0" fontId="4" fillId="3" borderId="51" xfId="0" applyNumberFormat="1" applyFont="1" applyFill="1" applyBorder="1" applyAlignment="1">
      <alignment horizontal="center" vertical="top"/>
    </xf>
    <xf numFmtId="0" fontId="4" fillId="3" borderId="50" xfId="0" applyFont="1" applyFill="1" applyBorder="1" applyAlignment="1">
      <alignment horizontal="center" vertical="top" wrapText="1"/>
    </xf>
    <xf numFmtId="0" fontId="4" fillId="3" borderId="65" xfId="0"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xf>
    <xf numFmtId="3" fontId="4" fillId="0" borderId="36" xfId="0" applyNumberFormat="1" applyFont="1" applyFill="1" applyBorder="1" applyAlignment="1">
      <alignment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3" borderId="43"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3" fillId="7" borderId="39" xfId="0" applyNumberFormat="1" applyFont="1" applyFill="1" applyBorder="1" applyAlignment="1">
      <alignment vertical="top"/>
    </xf>
    <xf numFmtId="3" fontId="3" fillId="2" borderId="13" xfId="0" applyNumberFormat="1" applyFont="1" applyFill="1" applyBorder="1" applyAlignment="1">
      <alignment vertical="top"/>
    </xf>
    <xf numFmtId="3" fontId="4" fillId="3" borderId="7" xfId="0" applyNumberFormat="1" applyFont="1" applyFill="1" applyBorder="1" applyAlignment="1">
      <alignment vertical="top" wrapText="1"/>
    </xf>
    <xf numFmtId="3" fontId="4" fillId="3" borderId="25" xfId="0" applyNumberFormat="1" applyFont="1" applyFill="1" applyBorder="1" applyAlignment="1">
      <alignment vertical="top" wrapText="1"/>
    </xf>
    <xf numFmtId="3" fontId="3" fillId="7" borderId="52" xfId="0" applyNumberFormat="1" applyFont="1" applyFill="1" applyBorder="1" applyAlignment="1">
      <alignment vertical="top"/>
    </xf>
    <xf numFmtId="3" fontId="3" fillId="2" borderId="50" xfId="0" applyNumberFormat="1" applyFont="1" applyFill="1" applyBorder="1" applyAlignment="1">
      <alignment vertical="top"/>
    </xf>
    <xf numFmtId="49" fontId="3" fillId="0" borderId="50" xfId="0" applyNumberFormat="1" applyFont="1" applyBorder="1" applyAlignment="1">
      <alignment horizontal="center" vertical="top"/>
    </xf>
    <xf numFmtId="3" fontId="3" fillId="3" borderId="53" xfId="0" applyNumberFormat="1" applyFont="1" applyFill="1" applyBorder="1" applyAlignment="1">
      <alignment horizontal="center" vertical="top" wrapText="1"/>
    </xf>
    <xf numFmtId="0" fontId="4" fillId="0" borderId="30" xfId="0" applyFont="1" applyFill="1" applyBorder="1" applyAlignment="1">
      <alignment horizontal="center" vertical="top"/>
    </xf>
    <xf numFmtId="49" fontId="3" fillId="0" borderId="53" xfId="0" applyNumberFormat="1" applyFont="1" applyBorder="1" applyAlignment="1">
      <alignment horizontal="center" vertical="top"/>
    </xf>
    <xf numFmtId="3" fontId="1" fillId="3" borderId="46" xfId="0" applyNumberFormat="1" applyFont="1" applyFill="1" applyBorder="1" applyAlignment="1">
      <alignment vertical="top" wrapText="1"/>
    </xf>
    <xf numFmtId="3" fontId="4" fillId="0" borderId="49" xfId="0" applyNumberFormat="1" applyFont="1" applyBorder="1" applyAlignment="1">
      <alignment horizontal="center" vertical="top" textRotation="90"/>
    </xf>
    <xf numFmtId="3" fontId="3" fillId="0" borderId="47" xfId="0" applyNumberFormat="1" applyFont="1" applyBorder="1" applyAlignment="1">
      <alignment horizontal="center" vertical="top" wrapText="1"/>
    </xf>
    <xf numFmtId="3" fontId="4" fillId="4" borderId="18"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19" xfId="0" applyNumberFormat="1" applyFont="1" applyBorder="1" applyAlignment="1">
      <alignment horizontal="center" vertical="top" wrapText="1"/>
    </xf>
    <xf numFmtId="164" fontId="1" fillId="0" borderId="16" xfId="1" applyNumberFormat="1" applyFont="1" applyFill="1" applyBorder="1" applyAlignment="1">
      <alignment horizontal="center" vertical="top"/>
    </xf>
    <xf numFmtId="164" fontId="1" fillId="0" borderId="48" xfId="1" applyNumberFormat="1" applyFont="1" applyFill="1" applyBorder="1" applyAlignment="1">
      <alignment horizontal="center" vertical="top"/>
    </xf>
    <xf numFmtId="3" fontId="1" fillId="0" borderId="41" xfId="0" applyNumberFormat="1" applyFont="1" applyFill="1" applyBorder="1" applyAlignment="1">
      <alignment horizontal="center" vertical="center" wrapText="1"/>
    </xf>
    <xf numFmtId="3" fontId="6" fillId="0" borderId="54"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4" fillId="0" borderId="61" xfId="0" applyNumberFormat="1" applyFont="1" applyBorder="1" applyAlignment="1">
      <alignment horizontal="center" vertical="top" wrapText="1"/>
    </xf>
    <xf numFmtId="49" fontId="4" fillId="0" borderId="54" xfId="0" applyNumberFormat="1" applyFont="1" applyBorder="1" applyAlignment="1">
      <alignment horizontal="center" vertical="top" wrapText="1"/>
    </xf>
    <xf numFmtId="49" fontId="4" fillId="0" borderId="45" xfId="0" applyNumberFormat="1" applyFont="1" applyBorder="1" applyAlignment="1">
      <alignment horizontal="center" vertical="top" wrapText="1"/>
    </xf>
    <xf numFmtId="49" fontId="4" fillId="0" borderId="53" xfId="0" applyNumberFormat="1" applyFont="1" applyBorder="1" applyAlignment="1">
      <alignment horizontal="center" vertical="top" wrapText="1"/>
    </xf>
    <xf numFmtId="49" fontId="4" fillId="0" borderId="54" xfId="0" applyNumberFormat="1" applyFont="1" applyBorder="1" applyAlignment="1">
      <alignment horizontal="center" vertical="top"/>
    </xf>
    <xf numFmtId="49" fontId="4" fillId="0" borderId="53" xfId="0" applyNumberFormat="1" applyFont="1" applyBorder="1" applyAlignment="1">
      <alignment horizontal="center" vertical="top"/>
    </xf>
    <xf numFmtId="49" fontId="4" fillId="0" borderId="60" xfId="0" applyNumberFormat="1" applyFont="1" applyBorder="1" applyAlignment="1">
      <alignment horizontal="center" vertical="top"/>
    </xf>
    <xf numFmtId="49" fontId="4" fillId="0" borderId="60" xfId="0" applyNumberFormat="1" applyFont="1" applyBorder="1" applyAlignment="1">
      <alignment horizontal="center" vertical="top" wrapText="1"/>
    </xf>
    <xf numFmtId="49" fontId="4" fillId="0" borderId="61" xfId="0" applyNumberFormat="1" applyFont="1" applyBorder="1" applyAlignment="1">
      <alignment horizontal="center" vertical="top"/>
    </xf>
    <xf numFmtId="49" fontId="4" fillId="0" borderId="45" xfId="0" applyNumberFormat="1" applyFont="1" applyBorder="1" applyAlignment="1">
      <alignment horizontal="center" vertical="top"/>
    </xf>
    <xf numFmtId="49" fontId="4" fillId="0" borderId="47" xfId="0" applyNumberFormat="1" applyFont="1" applyBorder="1" applyAlignment="1">
      <alignment horizontal="center" vertical="top"/>
    </xf>
    <xf numFmtId="49" fontId="3" fillId="0" borderId="5" xfId="0" applyNumberFormat="1" applyFont="1" applyBorder="1" applyAlignment="1">
      <alignment horizontal="center" vertical="top"/>
    </xf>
    <xf numFmtId="49" fontId="1" fillId="0" borderId="61" xfId="0" applyNumberFormat="1" applyFont="1" applyBorder="1" applyAlignment="1">
      <alignment horizontal="center" vertical="top"/>
    </xf>
    <xf numFmtId="49" fontId="1" fillId="0" borderId="54" xfId="0" applyNumberFormat="1" applyFont="1" applyBorder="1" applyAlignment="1">
      <alignment horizontal="center" vertical="top"/>
    </xf>
    <xf numFmtId="49" fontId="1" fillId="0" borderId="60" xfId="0" applyNumberFormat="1" applyFont="1" applyBorder="1" applyAlignment="1">
      <alignment horizontal="center" vertical="top"/>
    </xf>
    <xf numFmtId="49" fontId="4" fillId="0" borderId="47" xfId="0" applyNumberFormat="1" applyFont="1" applyBorder="1" applyAlignment="1">
      <alignment horizontal="center" vertical="top" wrapText="1"/>
    </xf>
    <xf numFmtId="49" fontId="6" fillId="4" borderId="5" xfId="0" applyNumberFormat="1" applyFont="1" applyFill="1" applyBorder="1" applyAlignment="1">
      <alignment horizontal="center" vertical="top" wrapText="1"/>
    </xf>
    <xf numFmtId="49" fontId="1" fillId="4" borderId="61" xfId="0" applyNumberFormat="1" applyFont="1" applyFill="1" applyBorder="1" applyAlignment="1">
      <alignment horizontal="center" vertical="top" wrapText="1"/>
    </xf>
    <xf numFmtId="49" fontId="4" fillId="4" borderId="54" xfId="0" applyNumberFormat="1" applyFont="1" applyFill="1" applyBorder="1" applyAlignment="1">
      <alignment horizontal="center" vertical="top"/>
    </xf>
    <xf numFmtId="49" fontId="1" fillId="4" borderId="54" xfId="0" applyNumberFormat="1" applyFont="1" applyFill="1" applyBorder="1" applyAlignment="1">
      <alignment horizontal="center" vertical="top" wrapText="1"/>
    </xf>
    <xf numFmtId="49" fontId="4" fillId="4" borderId="60" xfId="0" applyNumberFormat="1" applyFont="1" applyFill="1" applyBorder="1" applyAlignment="1">
      <alignment horizontal="center" vertical="top"/>
    </xf>
    <xf numFmtId="49" fontId="1" fillId="4" borderId="45" xfId="0" applyNumberFormat="1" applyFont="1" applyFill="1" applyBorder="1" applyAlignment="1">
      <alignment horizontal="center" vertical="top"/>
    </xf>
    <xf numFmtId="49" fontId="1" fillId="4" borderId="53"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45" xfId="0" applyNumberFormat="1" applyFont="1" applyFill="1" applyBorder="1" applyAlignment="1">
      <alignment horizontal="center" vertical="top"/>
    </xf>
    <xf numFmtId="49" fontId="1" fillId="4" borderId="47" xfId="0" applyNumberFormat="1" applyFont="1" applyFill="1" applyBorder="1" applyAlignment="1">
      <alignment horizontal="center" vertical="top"/>
    </xf>
    <xf numFmtId="49" fontId="4" fillId="4" borderId="47"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1" fillId="0" borderId="1" xfId="0" applyNumberFormat="1" applyFont="1" applyBorder="1" applyAlignment="1">
      <alignment horizontal="center" vertical="top"/>
    </xf>
    <xf numFmtId="3" fontId="4" fillId="0" borderId="35" xfId="0" applyNumberFormat="1" applyFont="1" applyBorder="1" applyAlignment="1">
      <alignment horizontal="center" vertical="top" wrapText="1"/>
    </xf>
    <xf numFmtId="3" fontId="4" fillId="0" borderId="1"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1" fillId="0" borderId="1" xfId="0" applyNumberFormat="1" applyFont="1" applyBorder="1" applyAlignment="1">
      <alignment horizontal="center" vertical="top" wrapText="1"/>
    </xf>
    <xf numFmtId="3" fontId="1" fillId="0" borderId="28" xfId="0" applyNumberFormat="1" applyFont="1" applyBorder="1" applyAlignment="1">
      <alignment horizontal="center" vertical="top"/>
    </xf>
    <xf numFmtId="3" fontId="1" fillId="0" borderId="16" xfId="0" applyNumberFormat="1" applyFont="1" applyBorder="1" applyAlignment="1">
      <alignment horizontal="center" vertical="top"/>
    </xf>
    <xf numFmtId="164" fontId="4" fillId="3" borderId="79" xfId="0" applyNumberFormat="1" applyFont="1" applyFill="1" applyBorder="1" applyAlignment="1">
      <alignment horizontal="center" vertical="top" wrapText="1"/>
    </xf>
    <xf numFmtId="164" fontId="4" fillId="3" borderId="68" xfId="0" applyNumberFormat="1" applyFont="1" applyFill="1" applyBorder="1" applyAlignment="1">
      <alignment horizontal="center" vertical="top" wrapText="1"/>
    </xf>
    <xf numFmtId="164" fontId="4" fillId="3" borderId="70" xfId="0" applyNumberFormat="1" applyFont="1" applyFill="1" applyBorder="1" applyAlignment="1">
      <alignment horizontal="center" vertical="top" wrapText="1"/>
    </xf>
    <xf numFmtId="3" fontId="4" fillId="3" borderId="7"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3" fontId="4" fillId="3" borderId="40" xfId="0" applyNumberFormat="1" applyFont="1" applyFill="1" applyBorder="1" applyAlignment="1">
      <alignment horizontal="center" vertical="top"/>
    </xf>
    <xf numFmtId="49" fontId="1" fillId="0" borderId="49" xfId="1" applyNumberFormat="1" applyFont="1" applyFill="1" applyBorder="1" applyAlignment="1">
      <alignment horizontal="center" vertical="center"/>
    </xf>
    <xf numFmtId="3" fontId="1" fillId="0" borderId="48" xfId="0" applyNumberFormat="1" applyFont="1" applyBorder="1" applyAlignment="1">
      <alignment horizontal="center" vertical="top" wrapText="1"/>
    </xf>
    <xf numFmtId="3" fontId="1" fillId="0" borderId="46" xfId="0" applyNumberFormat="1" applyFont="1" applyBorder="1" applyAlignment="1">
      <alignment vertical="top" wrapText="1"/>
    </xf>
    <xf numFmtId="49" fontId="1" fillId="3" borderId="30" xfId="1" applyNumberFormat="1" applyFont="1" applyFill="1" applyBorder="1" applyAlignment="1">
      <alignment horizontal="center" vertical="top" wrapText="1"/>
    </xf>
    <xf numFmtId="3" fontId="4" fillId="0" borderId="48" xfId="0" applyNumberFormat="1" applyFont="1" applyBorder="1" applyAlignment="1">
      <alignment horizontal="center" vertical="top" wrapText="1"/>
    </xf>
    <xf numFmtId="3" fontId="4" fillId="0" borderId="41" xfId="0" applyNumberFormat="1" applyFont="1" applyFill="1" applyBorder="1" applyAlignment="1">
      <alignment horizontal="center" vertical="top" textRotation="180" wrapText="1"/>
    </xf>
    <xf numFmtId="3" fontId="2" fillId="3" borderId="1" xfId="0" applyNumberFormat="1" applyFont="1" applyFill="1" applyBorder="1" applyAlignment="1">
      <alignment horizontal="center" vertical="top" wrapText="1"/>
    </xf>
    <xf numFmtId="3" fontId="4" fillId="3" borderId="1" xfId="0" applyNumberFormat="1" applyFont="1" applyFill="1" applyBorder="1" applyAlignment="1">
      <alignment horizontal="center" vertical="top" wrapText="1"/>
    </xf>
    <xf numFmtId="0" fontId="7" fillId="3" borderId="28" xfId="0" applyFont="1" applyFill="1" applyBorder="1" applyAlignment="1">
      <alignment horizontal="center" vertical="top" wrapText="1"/>
    </xf>
    <xf numFmtId="0" fontId="7" fillId="3" borderId="0" xfId="0" applyFont="1" applyFill="1" applyBorder="1" applyAlignment="1">
      <alignment horizontal="center" vertical="top" wrapText="1"/>
    </xf>
    <xf numFmtId="0" fontId="10" fillId="3" borderId="1" xfId="0" applyFont="1" applyFill="1" applyBorder="1" applyAlignment="1">
      <alignment horizontal="center" vertical="top" wrapText="1"/>
    </xf>
    <xf numFmtId="0" fontId="4" fillId="3" borderId="0" xfId="0" applyFont="1" applyFill="1" applyBorder="1" applyAlignment="1">
      <alignment horizontal="center" vertical="top" wrapText="1"/>
    </xf>
    <xf numFmtId="164" fontId="1" fillId="3" borderId="14" xfId="0" applyNumberFormat="1" applyFont="1" applyFill="1" applyBorder="1" applyAlignment="1">
      <alignment horizontal="center" vertical="top" wrapText="1"/>
    </xf>
    <xf numFmtId="3" fontId="1" fillId="0" borderId="26" xfId="0" applyNumberFormat="1" applyFont="1" applyBorder="1" applyAlignment="1">
      <alignment horizontal="center" vertical="center" textRotation="90"/>
    </xf>
    <xf numFmtId="3" fontId="4" fillId="0" borderId="31" xfId="0" applyNumberFormat="1" applyFont="1" applyFill="1" applyBorder="1" applyAlignment="1">
      <alignment horizontal="center" vertical="top" wrapText="1"/>
    </xf>
    <xf numFmtId="3" fontId="1" fillId="3" borderId="31" xfId="0" applyNumberFormat="1" applyFont="1" applyFill="1" applyBorder="1" applyAlignment="1">
      <alignment horizontal="center" vertical="top" wrapText="1"/>
    </xf>
    <xf numFmtId="3" fontId="1" fillId="3" borderId="45" xfId="0" applyNumberFormat="1" applyFont="1" applyFill="1" applyBorder="1" applyAlignment="1">
      <alignment horizontal="center" vertical="top" wrapText="1"/>
    </xf>
    <xf numFmtId="3" fontId="2" fillId="3" borderId="60" xfId="0" applyNumberFormat="1" applyFont="1" applyFill="1" applyBorder="1" applyAlignment="1">
      <alignment horizontal="center" vertical="top" wrapText="1"/>
    </xf>
    <xf numFmtId="0" fontId="7" fillId="3" borderId="66" xfId="0" applyFont="1" applyFill="1" applyBorder="1" applyAlignment="1">
      <alignment horizontal="center" vertical="top" wrapText="1"/>
    </xf>
    <xf numFmtId="0" fontId="7" fillId="3" borderId="54" xfId="0" applyFont="1" applyFill="1" applyBorder="1" applyAlignment="1">
      <alignment horizontal="center" vertical="top" wrapText="1"/>
    </xf>
    <xf numFmtId="0" fontId="10" fillId="3" borderId="60" xfId="0" applyFont="1" applyFill="1" applyBorder="1" applyAlignment="1">
      <alignment horizontal="center" vertical="top" wrapText="1"/>
    </xf>
    <xf numFmtId="0" fontId="10" fillId="3" borderId="27" xfId="0" applyFont="1" applyFill="1" applyBorder="1" applyAlignment="1">
      <alignment vertical="top" wrapText="1"/>
    </xf>
    <xf numFmtId="3" fontId="4" fillId="3" borderId="78" xfId="0" applyNumberFormat="1" applyFont="1" applyFill="1" applyBorder="1" applyAlignment="1">
      <alignment horizontal="center" vertical="top" wrapText="1"/>
    </xf>
    <xf numFmtId="3" fontId="4" fillId="3" borderId="77" xfId="0" applyNumberFormat="1" applyFont="1" applyFill="1" applyBorder="1" applyAlignment="1">
      <alignment horizontal="center" vertical="top" wrapText="1"/>
    </xf>
    <xf numFmtId="49" fontId="4" fillId="0" borderId="78" xfId="0" applyNumberFormat="1" applyFont="1" applyFill="1" applyBorder="1" applyAlignment="1">
      <alignment horizontal="center" vertical="top"/>
    </xf>
    <xf numFmtId="49" fontId="4" fillId="0" borderId="77" xfId="0" applyNumberFormat="1" applyFont="1" applyFill="1" applyBorder="1" applyAlignment="1">
      <alignment horizontal="center" vertical="top"/>
    </xf>
    <xf numFmtId="3" fontId="1" fillId="3" borderId="70" xfId="0" applyNumberFormat="1" applyFont="1" applyFill="1" applyBorder="1" applyAlignment="1">
      <alignment horizontal="center" vertical="top"/>
    </xf>
    <xf numFmtId="3" fontId="2" fillId="3" borderId="75" xfId="0" applyNumberFormat="1" applyFont="1" applyFill="1" applyBorder="1" applyAlignment="1">
      <alignment horizontal="center" vertical="top" wrapText="1"/>
    </xf>
    <xf numFmtId="3" fontId="4" fillId="3" borderId="75" xfId="0" applyNumberFormat="1" applyFont="1" applyFill="1" applyBorder="1" applyAlignment="1">
      <alignment horizontal="center" vertical="top" wrapText="1"/>
    </xf>
    <xf numFmtId="0" fontId="7" fillId="3" borderId="72" xfId="0" applyFont="1" applyFill="1" applyBorder="1" applyAlignment="1">
      <alignment horizontal="center" vertical="top" wrapText="1"/>
    </xf>
    <xf numFmtId="0" fontId="7" fillId="3" borderId="77" xfId="0" applyFont="1" applyFill="1" applyBorder="1" applyAlignment="1">
      <alignment horizontal="center" vertical="top" wrapText="1"/>
    </xf>
    <xf numFmtId="0" fontId="10" fillId="3" borderId="75" xfId="0"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48" xfId="0" applyNumberFormat="1" applyFont="1" applyFill="1" applyBorder="1" applyAlignment="1">
      <alignment horizontal="center" vertical="top" wrapText="1"/>
    </xf>
    <xf numFmtId="49" fontId="4" fillId="0" borderId="48"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3" fontId="1" fillId="0" borderId="48"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xf>
    <xf numFmtId="3" fontId="4" fillId="3" borderId="7" xfId="0" applyNumberFormat="1" applyFont="1" applyFill="1" applyBorder="1" applyAlignment="1">
      <alignment horizontal="center" vertical="top" wrapText="1"/>
    </xf>
    <xf numFmtId="49" fontId="1" fillId="3" borderId="25" xfId="0" applyNumberFormat="1" applyFont="1" applyFill="1" applyBorder="1" applyAlignment="1">
      <alignment horizontal="center" vertical="top" textRotation="1" wrapText="1"/>
    </xf>
    <xf numFmtId="3" fontId="2" fillId="3" borderId="25" xfId="0" applyNumberFormat="1" applyFont="1" applyFill="1" applyBorder="1" applyAlignment="1">
      <alignment horizontal="center" vertical="top"/>
    </xf>
    <xf numFmtId="3" fontId="19" fillId="3" borderId="38" xfId="0" applyNumberFormat="1" applyFont="1" applyFill="1" applyBorder="1" applyAlignment="1">
      <alignment horizontal="center" vertical="top"/>
    </xf>
    <xf numFmtId="3" fontId="19" fillId="3" borderId="16"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0" fontId="4" fillId="3" borderId="0" xfId="0" applyFont="1" applyFill="1" applyBorder="1" applyAlignment="1">
      <alignment horizontal="center" vertical="top"/>
    </xf>
    <xf numFmtId="164" fontId="1" fillId="0" borderId="73" xfId="0" applyNumberFormat="1" applyFont="1" applyFill="1" applyBorder="1" applyAlignment="1">
      <alignment horizontal="center" vertical="top"/>
    </xf>
    <xf numFmtId="164" fontId="1" fillId="0" borderId="69"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3" borderId="17" xfId="0" applyNumberFormat="1" applyFont="1" applyFill="1" applyBorder="1" applyAlignment="1">
      <alignment horizontal="center" vertical="top"/>
    </xf>
    <xf numFmtId="164" fontId="4" fillId="3" borderId="14"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xf>
    <xf numFmtId="164" fontId="4" fillId="3" borderId="17" xfId="0" applyNumberFormat="1" applyFont="1" applyFill="1" applyBorder="1" applyAlignment="1">
      <alignment horizontal="center" vertical="top"/>
    </xf>
    <xf numFmtId="164" fontId="4" fillId="3" borderId="35" xfId="0" applyNumberFormat="1" applyFont="1" applyFill="1" applyBorder="1" applyAlignment="1">
      <alignment horizontal="center" vertical="top"/>
    </xf>
    <xf numFmtId="164" fontId="1" fillId="3" borderId="28" xfId="0" applyNumberFormat="1" applyFont="1" applyFill="1" applyBorder="1" applyAlignment="1">
      <alignment horizontal="center" vertical="top"/>
    </xf>
    <xf numFmtId="164" fontId="1" fillId="3" borderId="5" xfId="0" applyNumberFormat="1" applyFont="1" applyFill="1" applyBorder="1" applyAlignment="1">
      <alignment horizontal="center" vertical="top"/>
    </xf>
    <xf numFmtId="165" fontId="6" fillId="2" borderId="64" xfId="0" applyNumberFormat="1" applyFont="1" applyFill="1" applyBorder="1" applyAlignment="1">
      <alignment horizontal="center" vertical="top"/>
    </xf>
    <xf numFmtId="164" fontId="1" fillId="3" borderId="45" xfId="0" applyNumberFormat="1" applyFont="1" applyFill="1" applyBorder="1" applyAlignment="1">
      <alignment horizontal="center" vertical="top"/>
    </xf>
    <xf numFmtId="164" fontId="4" fillId="3" borderId="53" xfId="0" applyNumberFormat="1" applyFont="1" applyFill="1" applyBorder="1" applyAlignment="1">
      <alignment horizontal="center" vertical="top"/>
    </xf>
    <xf numFmtId="164" fontId="6" fillId="5" borderId="47" xfId="0" applyNumberFormat="1" applyFont="1" applyFill="1" applyBorder="1" applyAlignment="1">
      <alignment horizontal="center" vertical="top"/>
    </xf>
    <xf numFmtId="164" fontId="1" fillId="3" borderId="45" xfId="0" applyNumberFormat="1" applyFont="1" applyFill="1" applyBorder="1" applyAlignment="1">
      <alignment horizontal="center" vertical="top" wrapText="1"/>
    </xf>
    <xf numFmtId="164" fontId="6" fillId="5" borderId="45" xfId="0" applyNumberFormat="1" applyFont="1" applyFill="1" applyBorder="1" applyAlignment="1">
      <alignment horizontal="center" vertical="top"/>
    </xf>
    <xf numFmtId="164" fontId="6" fillId="3" borderId="45" xfId="0" applyNumberFormat="1" applyFont="1" applyFill="1" applyBorder="1" applyAlignment="1">
      <alignment horizontal="center" vertical="top"/>
    </xf>
    <xf numFmtId="164" fontId="6" fillId="3" borderId="54" xfId="0" applyNumberFormat="1" applyFont="1" applyFill="1" applyBorder="1" applyAlignment="1">
      <alignment horizontal="center" vertical="top"/>
    </xf>
    <xf numFmtId="164" fontId="4" fillId="3" borderId="61" xfId="0" applyNumberFormat="1" applyFont="1" applyFill="1" applyBorder="1" applyAlignment="1">
      <alignment horizontal="center" vertical="top"/>
    </xf>
    <xf numFmtId="0" fontId="4" fillId="3" borderId="54" xfId="0" applyFont="1" applyFill="1" applyBorder="1" applyAlignment="1">
      <alignment horizontal="center" vertical="top"/>
    </xf>
    <xf numFmtId="164" fontId="1" fillId="3" borderId="66" xfId="0" applyNumberFormat="1" applyFont="1" applyFill="1" applyBorder="1" applyAlignment="1">
      <alignment horizontal="center" vertical="top"/>
    </xf>
    <xf numFmtId="164" fontId="1" fillId="0" borderId="79"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78" xfId="0" applyNumberFormat="1" applyFont="1" applyFill="1" applyBorder="1" applyAlignment="1">
      <alignment horizontal="center" vertical="top"/>
    </xf>
    <xf numFmtId="164" fontId="3" fillId="5" borderId="68" xfId="0" applyNumberFormat="1" applyFont="1" applyFill="1" applyBorder="1" applyAlignment="1">
      <alignment horizontal="center" vertical="top"/>
    </xf>
    <xf numFmtId="164" fontId="1" fillId="3" borderId="70" xfId="0" applyNumberFormat="1" applyFont="1" applyFill="1" applyBorder="1" applyAlignment="1">
      <alignment horizontal="center" vertical="top"/>
    </xf>
    <xf numFmtId="164" fontId="4" fillId="3" borderId="68" xfId="0" applyNumberFormat="1" applyFont="1" applyFill="1" applyBorder="1" applyAlignment="1">
      <alignment horizontal="center" vertical="top"/>
    </xf>
    <xf numFmtId="164" fontId="1" fillId="3" borderId="68"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164" fontId="4" fillId="3" borderId="77" xfId="0" applyNumberFormat="1" applyFont="1" applyFill="1" applyBorder="1" applyAlignment="1">
      <alignment horizontal="center" vertical="top" wrapText="1"/>
    </xf>
    <xf numFmtId="164" fontId="4" fillId="3" borderId="70" xfId="0" applyNumberFormat="1" applyFont="1" applyFill="1" applyBorder="1" applyAlignment="1">
      <alignment horizontal="center" vertical="top"/>
    </xf>
    <xf numFmtId="164" fontId="1" fillId="3" borderId="70" xfId="0" applyNumberFormat="1" applyFont="1" applyFill="1" applyBorder="1" applyAlignment="1">
      <alignment horizontal="center" vertical="top" wrapText="1"/>
    </xf>
    <xf numFmtId="164" fontId="6" fillId="5" borderId="68" xfId="0" applyNumberFormat="1" applyFont="1" applyFill="1" applyBorder="1" applyAlignment="1">
      <alignment horizontal="center" vertical="top"/>
    </xf>
    <xf numFmtId="164" fontId="6" fillId="5" borderId="70" xfId="0" applyNumberFormat="1" applyFont="1" applyFill="1" applyBorder="1" applyAlignment="1">
      <alignment horizontal="center" vertical="top"/>
    </xf>
    <xf numFmtId="164" fontId="6" fillId="3" borderId="70" xfId="0" applyNumberFormat="1" applyFont="1" applyFill="1" applyBorder="1" applyAlignment="1">
      <alignment horizontal="center" vertical="top"/>
    </xf>
    <xf numFmtId="164" fontId="6" fillId="3" borderId="77" xfId="0" applyNumberFormat="1" applyFont="1" applyFill="1" applyBorder="1" applyAlignment="1">
      <alignment horizontal="center" vertical="top"/>
    </xf>
    <xf numFmtId="164" fontId="4" fillId="3" borderId="72" xfId="0" applyNumberFormat="1" applyFont="1" applyFill="1" applyBorder="1" applyAlignment="1">
      <alignment horizontal="center" vertical="top"/>
    </xf>
    <xf numFmtId="0" fontId="4" fillId="3" borderId="72" xfId="0" applyFont="1" applyFill="1" applyBorder="1" applyAlignment="1">
      <alignment horizontal="center" vertical="top"/>
    </xf>
    <xf numFmtId="164" fontId="1" fillId="3" borderId="72" xfId="0" applyNumberFormat="1" applyFont="1" applyFill="1" applyBorder="1" applyAlignment="1">
      <alignment horizontal="center" vertical="top"/>
    </xf>
    <xf numFmtId="164" fontId="1" fillId="3" borderId="79" xfId="0" applyNumberFormat="1" applyFont="1" applyFill="1" applyBorder="1" applyAlignment="1">
      <alignment horizontal="center" vertical="top"/>
    </xf>
    <xf numFmtId="165" fontId="6" fillId="2" borderId="63"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164" fontId="3" fillId="5" borderId="46" xfId="0" applyNumberFormat="1" applyFont="1" applyFill="1" applyBorder="1" applyAlignment="1">
      <alignment horizontal="center" vertical="top"/>
    </xf>
    <xf numFmtId="164" fontId="4" fillId="3" borderId="48" xfId="0" applyNumberFormat="1" applyFont="1" applyFill="1" applyBorder="1" applyAlignment="1">
      <alignment horizontal="center" vertical="top"/>
    </xf>
    <xf numFmtId="164" fontId="1" fillId="3" borderId="48" xfId="0" applyNumberFormat="1" applyFont="1" applyFill="1" applyBorder="1" applyAlignment="1">
      <alignment horizontal="center" vertical="top"/>
    </xf>
    <xf numFmtId="164" fontId="4" fillId="3" borderId="46" xfId="0" applyNumberFormat="1" applyFont="1" applyFill="1" applyBorder="1" applyAlignment="1">
      <alignment horizontal="center" vertical="top"/>
    </xf>
    <xf numFmtId="164" fontId="6" fillId="5" borderId="46"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4" fontId="6" fillId="3" borderId="16"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0" fontId="4" fillId="3" borderId="16" xfId="0" applyFont="1" applyFill="1" applyBorder="1" applyAlignment="1">
      <alignment horizontal="center" vertical="top"/>
    </xf>
    <xf numFmtId="164" fontId="1" fillId="3" borderId="38" xfId="0" applyNumberFormat="1" applyFont="1" applyFill="1" applyBorder="1" applyAlignment="1">
      <alignment horizontal="center" vertical="top"/>
    </xf>
    <xf numFmtId="165" fontId="6" fillId="2" borderId="82" xfId="0" applyNumberFormat="1" applyFont="1" applyFill="1" applyBorder="1" applyAlignment="1">
      <alignment horizontal="center" vertical="top"/>
    </xf>
    <xf numFmtId="164" fontId="1" fillId="4" borderId="79" xfId="0" applyNumberFormat="1" applyFont="1" applyFill="1" applyBorder="1" applyAlignment="1">
      <alignment horizontal="center" vertical="top"/>
    </xf>
    <xf numFmtId="164" fontId="1" fillId="4" borderId="68"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4" borderId="70" xfId="0" applyNumberFormat="1" applyFont="1" applyFill="1" applyBorder="1" applyAlignment="1">
      <alignment horizontal="center" vertical="top"/>
    </xf>
    <xf numFmtId="164" fontId="1" fillId="3" borderId="77" xfId="0" applyNumberFormat="1" applyFont="1" applyFill="1" applyBorder="1" applyAlignment="1">
      <alignment horizontal="center" vertical="top"/>
    </xf>
    <xf numFmtId="164" fontId="1" fillId="3" borderId="77" xfId="0" applyNumberFormat="1" applyFont="1" applyFill="1" applyBorder="1" applyAlignment="1">
      <alignment horizontal="center" vertical="top" wrapText="1"/>
    </xf>
    <xf numFmtId="164" fontId="17" fillId="0" borderId="77" xfId="0" applyNumberFormat="1" applyFont="1" applyFill="1" applyBorder="1" applyAlignment="1">
      <alignment horizontal="center" vertical="top"/>
    </xf>
    <xf numFmtId="164" fontId="4" fillId="3" borderId="77" xfId="0" applyNumberFormat="1" applyFont="1" applyFill="1" applyBorder="1" applyAlignment="1">
      <alignment horizontal="center" vertical="top"/>
    </xf>
    <xf numFmtId="165" fontId="6" fillId="5" borderId="67" xfId="0" applyNumberFormat="1" applyFont="1" applyFill="1" applyBorder="1" applyAlignment="1">
      <alignment horizontal="center" vertical="top" wrapText="1"/>
    </xf>
    <xf numFmtId="164" fontId="6" fillId="5" borderId="67" xfId="0" applyNumberFormat="1" applyFont="1" applyFill="1" applyBorder="1" applyAlignment="1">
      <alignment horizontal="center" vertical="top"/>
    </xf>
    <xf numFmtId="164" fontId="1" fillId="4" borderId="79" xfId="0" applyNumberFormat="1" applyFont="1" applyFill="1" applyBorder="1" applyAlignment="1">
      <alignment horizontal="center" vertical="top" wrapText="1"/>
    </xf>
    <xf numFmtId="164" fontId="4" fillId="4" borderId="77" xfId="0" applyNumberFormat="1" applyFont="1" applyFill="1" applyBorder="1" applyAlignment="1">
      <alignment horizontal="center" vertical="top" wrapText="1"/>
    </xf>
    <xf numFmtId="164" fontId="1" fillId="0" borderId="77" xfId="0" applyNumberFormat="1" applyFont="1" applyBorder="1" applyAlignment="1">
      <alignment horizontal="center" vertical="top" wrapText="1"/>
    </xf>
    <xf numFmtId="165" fontId="4" fillId="0" borderId="79" xfId="0" applyNumberFormat="1" applyFont="1" applyBorder="1" applyAlignment="1">
      <alignment horizontal="center" vertical="top" wrapText="1"/>
    </xf>
    <xf numFmtId="165" fontId="4" fillId="0" borderId="70" xfId="0" applyNumberFormat="1" applyFont="1" applyBorder="1" applyAlignment="1">
      <alignment horizontal="center" vertical="top" wrapText="1"/>
    </xf>
    <xf numFmtId="164" fontId="4" fillId="0" borderId="77" xfId="0" applyNumberFormat="1" applyFont="1" applyBorder="1" applyAlignment="1">
      <alignment horizontal="center" vertical="top" wrapText="1"/>
    </xf>
    <xf numFmtId="164" fontId="4" fillId="0" borderId="79" xfId="0" applyNumberFormat="1" applyFont="1" applyBorder="1" applyAlignment="1">
      <alignment horizontal="center" vertical="top" wrapText="1"/>
    </xf>
    <xf numFmtId="164" fontId="4" fillId="4" borderId="79" xfId="0" applyNumberFormat="1" applyFont="1" applyFill="1" applyBorder="1" applyAlignment="1">
      <alignment horizontal="center" vertical="top" wrapText="1"/>
    </xf>
    <xf numFmtId="164" fontId="4" fillId="4" borderId="68" xfId="0" applyNumberFormat="1" applyFont="1" applyFill="1" applyBorder="1" applyAlignment="1">
      <alignment horizontal="center" vertical="top" wrapText="1"/>
    </xf>
    <xf numFmtId="164" fontId="4" fillId="0" borderId="70" xfId="0" applyNumberFormat="1" applyFont="1" applyFill="1" applyBorder="1" applyAlignment="1">
      <alignment horizontal="center" vertical="top"/>
    </xf>
    <xf numFmtId="164" fontId="4" fillId="3" borderId="78"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3" fillId="2" borderId="63" xfId="0" applyNumberFormat="1" applyFont="1" applyFill="1" applyBorder="1" applyAlignment="1">
      <alignment horizontal="center" vertical="top"/>
    </xf>
    <xf numFmtId="3" fontId="1" fillId="3" borderId="16" xfId="0" applyNumberFormat="1" applyFont="1" applyFill="1" applyBorder="1" applyAlignment="1">
      <alignment vertical="top"/>
    </xf>
    <xf numFmtId="164" fontId="17" fillId="3" borderId="16" xfId="0" applyNumberFormat="1" applyFont="1" applyFill="1" applyBorder="1" applyAlignment="1">
      <alignment horizontal="center" vertical="top"/>
    </xf>
    <xf numFmtId="164" fontId="1" fillId="3" borderId="14" xfId="0" applyNumberFormat="1" applyFont="1" applyFill="1" applyBorder="1" applyAlignment="1">
      <alignment horizontal="center" vertical="top"/>
    </xf>
    <xf numFmtId="164" fontId="17" fillId="0" borderId="14" xfId="0" applyNumberFormat="1" applyFont="1" applyFill="1" applyBorder="1" applyAlignment="1">
      <alignment horizontal="center" vertical="top"/>
    </xf>
    <xf numFmtId="164" fontId="4" fillId="3" borderId="18" xfId="0" applyNumberFormat="1" applyFont="1" applyFill="1" applyBorder="1" applyAlignment="1">
      <alignment horizontal="center" vertical="top"/>
    </xf>
    <xf numFmtId="164" fontId="4" fillId="4" borderId="51"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164" fontId="1" fillId="4" borderId="54" xfId="0" applyNumberFormat="1" applyFont="1" applyFill="1" applyBorder="1" applyAlignment="1">
      <alignment horizontal="center" vertical="top"/>
    </xf>
    <xf numFmtId="164" fontId="1" fillId="4" borderId="45" xfId="0" applyNumberFormat="1" applyFont="1" applyFill="1" applyBorder="1" applyAlignment="1">
      <alignment horizontal="center" vertical="top"/>
    </xf>
    <xf numFmtId="164" fontId="4" fillId="3" borderId="54" xfId="0" applyNumberFormat="1" applyFont="1" applyFill="1" applyBorder="1" applyAlignment="1">
      <alignment horizontal="center" vertical="top"/>
    </xf>
    <xf numFmtId="164" fontId="1" fillId="0" borderId="61" xfId="0" applyNumberFormat="1" applyFont="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4" borderId="54" xfId="0" applyNumberFormat="1" applyFont="1" applyFill="1" applyBorder="1" applyAlignment="1">
      <alignment horizontal="center" vertical="top" wrapText="1"/>
    </xf>
    <xf numFmtId="165" fontId="4" fillId="0" borderId="61" xfId="0" applyNumberFormat="1" applyFont="1" applyBorder="1" applyAlignment="1">
      <alignment horizontal="center" vertical="top" wrapText="1"/>
    </xf>
    <xf numFmtId="165" fontId="4" fillId="0" borderId="45" xfId="0" applyNumberFormat="1" applyFont="1" applyBorder="1" applyAlignment="1">
      <alignment horizontal="center" vertical="top" wrapText="1"/>
    </xf>
    <xf numFmtId="164" fontId="4" fillId="0" borderId="54" xfId="0" applyNumberFormat="1" applyFont="1" applyBorder="1" applyAlignment="1">
      <alignment horizontal="center" vertical="top" wrapText="1"/>
    </xf>
    <xf numFmtId="164" fontId="6" fillId="5" borderId="26" xfId="0" applyNumberFormat="1" applyFont="1" applyFill="1" applyBorder="1" applyAlignment="1">
      <alignment horizontal="center" vertical="top"/>
    </xf>
    <xf numFmtId="164" fontId="4" fillId="3" borderId="61"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4" borderId="61"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3" borderId="53" xfId="0" applyNumberFormat="1" applyFont="1" applyFill="1" applyBorder="1" applyAlignment="1">
      <alignment horizontal="center" vertical="top" wrapText="1"/>
    </xf>
    <xf numFmtId="164" fontId="3" fillId="5" borderId="54" xfId="0" applyNumberFormat="1" applyFont="1" applyFill="1" applyBorder="1" applyAlignment="1">
      <alignment horizontal="center" vertical="top"/>
    </xf>
    <xf numFmtId="164" fontId="4" fillId="3" borderId="72" xfId="0" applyNumberFormat="1" applyFont="1" applyFill="1" applyBorder="1" applyAlignment="1">
      <alignment horizontal="center" vertical="top" wrapText="1"/>
    </xf>
    <xf numFmtId="164" fontId="1" fillId="3" borderId="68" xfId="0" applyNumberFormat="1" applyFont="1" applyFill="1" applyBorder="1" applyAlignment="1">
      <alignment horizontal="center" vertical="top" wrapText="1"/>
    </xf>
    <xf numFmtId="164" fontId="1" fillId="3" borderId="70" xfId="1" applyNumberFormat="1" applyFont="1" applyFill="1" applyBorder="1" applyAlignment="1">
      <alignment horizontal="center" vertical="top"/>
    </xf>
    <xf numFmtId="164" fontId="1" fillId="0" borderId="70" xfId="1" applyNumberFormat="1" applyFont="1" applyFill="1" applyBorder="1" applyAlignment="1">
      <alignment horizontal="center" vertical="top"/>
    </xf>
    <xf numFmtId="164" fontId="4" fillId="3" borderId="78" xfId="0" applyNumberFormat="1" applyFont="1" applyFill="1" applyBorder="1" applyAlignment="1">
      <alignment horizontal="center" vertical="top"/>
    </xf>
    <xf numFmtId="165" fontId="3" fillId="5" borderId="67" xfId="0" applyNumberFormat="1" applyFont="1" applyFill="1" applyBorder="1" applyAlignment="1">
      <alignment horizontal="center" vertical="top" wrapText="1"/>
    </xf>
    <xf numFmtId="164" fontId="1" fillId="0" borderId="69" xfId="1" applyNumberFormat="1" applyFont="1" applyFill="1" applyBorder="1" applyAlignment="1">
      <alignment horizontal="center" vertical="top"/>
    </xf>
    <xf numFmtId="0" fontId="4" fillId="3" borderId="31" xfId="0" applyFont="1" applyFill="1" applyBorder="1" applyAlignment="1">
      <alignment horizontal="center" vertical="top" wrapText="1"/>
    </xf>
    <xf numFmtId="164" fontId="4" fillId="3" borderId="66" xfId="0" applyNumberFormat="1" applyFont="1" applyFill="1" applyBorder="1" applyAlignment="1">
      <alignment horizontal="center" vertical="top" wrapText="1"/>
    </xf>
    <xf numFmtId="164" fontId="1" fillId="3" borderId="47" xfId="0" applyNumberFormat="1" applyFont="1" applyFill="1" applyBorder="1" applyAlignment="1">
      <alignment horizontal="center" vertical="top" wrapText="1"/>
    </xf>
    <xf numFmtId="164" fontId="1" fillId="11" borderId="68" xfId="1" applyNumberFormat="1" applyFont="1" applyFill="1" applyBorder="1" applyAlignment="1">
      <alignment horizontal="center" vertical="top"/>
    </xf>
    <xf numFmtId="164" fontId="1" fillId="11" borderId="78" xfId="1" applyNumberFormat="1" applyFont="1" applyFill="1" applyBorder="1" applyAlignment="1">
      <alignment horizontal="center" vertical="top"/>
    </xf>
    <xf numFmtId="164" fontId="4" fillId="0" borderId="77" xfId="0" applyNumberFormat="1" applyFont="1" applyFill="1" applyBorder="1" applyAlignment="1">
      <alignment horizontal="center" vertical="top"/>
    </xf>
    <xf numFmtId="164" fontId="6" fillId="2" borderId="63" xfId="0" applyNumberFormat="1" applyFont="1" applyFill="1" applyBorder="1" applyAlignment="1">
      <alignment horizontal="center" vertical="top"/>
    </xf>
    <xf numFmtId="164" fontId="3" fillId="7" borderId="63" xfId="0" applyNumberFormat="1" applyFont="1" applyFill="1" applyBorder="1" applyAlignment="1">
      <alignment horizontal="center" vertical="top"/>
    </xf>
    <xf numFmtId="164" fontId="3" fillId="8" borderId="75" xfId="0" applyNumberFormat="1" applyFont="1" applyFill="1" applyBorder="1" applyAlignment="1">
      <alignment horizontal="center" vertical="top" wrapText="1"/>
    </xf>
    <xf numFmtId="164" fontId="1" fillId="10" borderId="83" xfId="1" applyNumberFormat="1" applyFont="1" applyFill="1" applyBorder="1" applyAlignment="1">
      <alignment horizontal="center" vertical="top"/>
    </xf>
    <xf numFmtId="164" fontId="1" fillId="10" borderId="48" xfId="1"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7" fillId="0" borderId="79" xfId="0" applyNumberFormat="1" applyFont="1" applyBorder="1" applyAlignment="1">
      <alignment horizontal="center" vertical="center" wrapText="1"/>
    </xf>
    <xf numFmtId="164" fontId="6" fillId="8" borderId="9" xfId="0" applyNumberFormat="1" applyFont="1" applyFill="1" applyBorder="1" applyAlignment="1">
      <alignment horizontal="center" vertical="top" wrapText="1"/>
    </xf>
    <xf numFmtId="164" fontId="6" fillId="5" borderId="72" xfId="0" applyNumberFormat="1" applyFont="1" applyFill="1" applyBorder="1" applyAlignment="1">
      <alignment horizontal="center" vertical="top" wrapText="1"/>
    </xf>
    <xf numFmtId="164" fontId="1" fillId="0" borderId="68" xfId="0" applyNumberFormat="1" applyFont="1" applyBorder="1" applyAlignment="1">
      <alignment horizontal="center" vertical="top" wrapText="1"/>
    </xf>
    <xf numFmtId="164" fontId="1" fillId="5" borderId="68" xfId="0" applyNumberFormat="1" applyFont="1" applyFill="1" applyBorder="1" applyAlignment="1">
      <alignment horizontal="center" vertical="top" wrapText="1"/>
    </xf>
    <xf numFmtId="164" fontId="1" fillId="5" borderId="67" xfId="0" applyNumberFormat="1" applyFont="1" applyFill="1" applyBorder="1" applyAlignment="1">
      <alignment horizontal="center" vertical="top" wrapText="1"/>
    </xf>
    <xf numFmtId="164" fontId="6" fillId="8" borderId="63" xfId="0" applyNumberFormat="1" applyFont="1" applyFill="1" applyBorder="1" applyAlignment="1">
      <alignment horizontal="center" vertical="top" wrapText="1"/>
    </xf>
    <xf numFmtId="164" fontId="1" fillId="0" borderId="72" xfId="0" applyNumberFormat="1" applyFont="1" applyBorder="1" applyAlignment="1">
      <alignment horizontal="center" vertical="top" wrapText="1"/>
    </xf>
    <xf numFmtId="164" fontId="1" fillId="0" borderId="78" xfId="0" applyNumberFormat="1" applyFont="1" applyBorder="1" applyAlignment="1">
      <alignment horizontal="center" vertical="top" wrapText="1"/>
    </xf>
    <xf numFmtId="164" fontId="6" fillId="5" borderId="63" xfId="0" applyNumberFormat="1" applyFont="1" applyFill="1" applyBorder="1" applyAlignment="1">
      <alignment horizontal="center" vertical="top" wrapText="1"/>
    </xf>
    <xf numFmtId="164" fontId="19" fillId="0" borderId="82" xfId="0" applyNumberFormat="1" applyFont="1" applyBorder="1" applyAlignment="1">
      <alignment horizontal="center" vertical="center" wrapText="1"/>
    </xf>
    <xf numFmtId="164" fontId="6" fillId="5" borderId="38"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1" fillId="0" borderId="38" xfId="0" applyNumberFormat="1" applyFont="1" applyBorder="1" applyAlignment="1">
      <alignment horizontal="center" vertical="top" wrapText="1"/>
    </xf>
    <xf numFmtId="164" fontId="6" fillId="5" borderId="82" xfId="0" applyNumberFormat="1" applyFont="1" applyFill="1" applyBorder="1" applyAlignment="1">
      <alignment horizontal="center" vertical="top" wrapText="1"/>
    </xf>
    <xf numFmtId="164" fontId="7" fillId="0" borderId="35" xfId="0" applyNumberFormat="1" applyFont="1" applyBorder="1" applyAlignment="1">
      <alignment horizontal="center" vertical="center" wrapText="1"/>
    </xf>
    <xf numFmtId="164" fontId="6" fillId="5" borderId="28" xfId="0" applyNumberFormat="1" applyFont="1" applyFill="1" applyBorder="1" applyAlignment="1">
      <alignment horizontal="center" vertical="top" wrapText="1"/>
    </xf>
    <xf numFmtId="164" fontId="1" fillId="5" borderId="56" xfId="0" applyNumberFormat="1" applyFont="1" applyFill="1" applyBorder="1" applyAlignment="1">
      <alignment horizontal="center" vertical="top" wrapText="1"/>
    </xf>
    <xf numFmtId="164" fontId="1" fillId="0" borderId="28" xfId="0" applyNumberFormat="1" applyFont="1" applyBorder="1" applyAlignment="1">
      <alignment horizontal="center" vertical="top" wrapText="1"/>
    </xf>
    <xf numFmtId="164" fontId="6" fillId="5" borderId="9" xfId="0" applyNumberFormat="1" applyFont="1" applyFill="1" applyBorder="1" applyAlignment="1">
      <alignment horizontal="center" vertical="top" wrapText="1"/>
    </xf>
    <xf numFmtId="164" fontId="7" fillId="0" borderId="61" xfId="0" applyNumberFormat="1" applyFont="1" applyBorder="1" applyAlignment="1">
      <alignment horizontal="center" vertical="center" wrapText="1"/>
    </xf>
    <xf numFmtId="164" fontId="6" fillId="5" borderId="66" xfId="0" applyNumberFormat="1" applyFont="1" applyFill="1" applyBorder="1" applyAlignment="1">
      <alignment horizontal="center" vertical="top" wrapText="1"/>
    </xf>
    <xf numFmtId="164" fontId="1" fillId="5" borderId="47"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53"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 fillId="4" borderId="0"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49" fontId="3" fillId="0" borderId="5" xfId="0" applyNumberFormat="1" applyFont="1" applyBorder="1" applyAlignment="1">
      <alignment horizontal="center" vertical="top"/>
    </xf>
    <xf numFmtId="3" fontId="4"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4" borderId="49"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3" fontId="4" fillId="0" borderId="59" xfId="0" applyNumberFormat="1" applyFont="1" applyBorder="1" applyAlignment="1">
      <alignment horizontal="center" vertical="top" textRotation="90"/>
    </xf>
    <xf numFmtId="3" fontId="3" fillId="0" borderId="60"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1" fillId="4" borderId="31" xfId="0" applyNumberFormat="1" applyFont="1" applyFill="1" applyBorder="1" applyAlignment="1">
      <alignment horizontal="center" vertical="top" wrapText="1"/>
    </xf>
    <xf numFmtId="3" fontId="1" fillId="4" borderId="70" xfId="0" applyNumberFormat="1" applyFont="1" applyFill="1" applyBorder="1" applyAlignment="1">
      <alignment horizontal="center" vertical="top" wrapText="1"/>
    </xf>
    <xf numFmtId="3" fontId="1" fillId="4" borderId="78"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4" fillId="0" borderId="70" xfId="0" applyNumberFormat="1" applyFont="1" applyBorder="1" applyAlignment="1">
      <alignment horizontal="center" vertical="top" wrapText="1"/>
    </xf>
    <xf numFmtId="3" fontId="4" fillId="0" borderId="77" xfId="0" applyNumberFormat="1" applyFont="1" applyBorder="1" applyAlignment="1">
      <alignment horizontal="center" vertical="top" wrapText="1"/>
    </xf>
    <xf numFmtId="3" fontId="3" fillId="0" borderId="7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3" borderId="16" xfId="0" applyNumberFormat="1" applyFont="1" applyFill="1" applyBorder="1" applyAlignment="1">
      <alignment horizontal="lef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7" fillId="3"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39"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4" fillId="3" borderId="43"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49" fontId="3" fillId="0" borderId="23" xfId="0" applyNumberFormat="1" applyFont="1" applyBorder="1" applyAlignment="1">
      <alignment horizontal="center" vertical="top"/>
    </xf>
    <xf numFmtId="49" fontId="3" fillId="0" borderId="14" xfId="0" applyNumberFormat="1" applyFont="1" applyBorder="1" applyAlignment="1">
      <alignment horizontal="center" vertical="top" wrapText="1"/>
    </xf>
    <xf numFmtId="49" fontId="6" fillId="0" borderId="5" xfId="0" applyNumberFormat="1" applyFont="1" applyBorder="1" applyAlignment="1">
      <alignment horizontal="center" vertical="top"/>
    </xf>
    <xf numFmtId="3" fontId="4" fillId="4" borderId="49"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0" fontId="4" fillId="3" borderId="39" xfId="0" applyFont="1" applyFill="1" applyBorder="1" applyAlignment="1">
      <alignment horizontal="left" vertical="top" wrapText="1"/>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0" fontId="1" fillId="3" borderId="51" xfId="0" applyNumberFormat="1" applyFont="1" applyFill="1" applyBorder="1" applyAlignment="1">
      <alignment horizontal="center" vertical="top"/>
    </xf>
    <xf numFmtId="164" fontId="17" fillId="0" borderId="48" xfId="1" applyNumberFormat="1" applyFont="1" applyFill="1" applyBorder="1" applyAlignment="1">
      <alignment horizontal="center" vertical="top"/>
    </xf>
    <xf numFmtId="3" fontId="20" fillId="3" borderId="42" xfId="0" applyNumberFormat="1" applyFont="1" applyFill="1" applyBorder="1" applyAlignment="1">
      <alignment horizontal="center" vertical="top" wrapText="1"/>
    </xf>
    <xf numFmtId="164" fontId="20" fillId="10" borderId="43" xfId="1" applyNumberFormat="1" applyFont="1" applyFill="1" applyBorder="1" applyAlignment="1">
      <alignment horizontal="center" vertical="top"/>
    </xf>
    <xf numFmtId="164" fontId="20" fillId="10" borderId="44" xfId="1" applyNumberFormat="1" applyFont="1" applyFill="1" applyBorder="1" applyAlignment="1">
      <alignment horizontal="center" vertical="top"/>
    </xf>
    <xf numFmtId="164" fontId="20" fillId="10" borderId="32" xfId="1" applyNumberFormat="1" applyFont="1" applyFill="1" applyBorder="1" applyAlignment="1">
      <alignment horizontal="center" vertical="top"/>
    </xf>
    <xf numFmtId="164" fontId="20" fillId="11" borderId="42" xfId="1" applyNumberFormat="1" applyFont="1" applyFill="1" applyBorder="1" applyAlignment="1">
      <alignment horizontal="center" vertical="top"/>
    </xf>
    <xf numFmtId="164" fontId="20" fillId="11" borderId="44" xfId="1" applyNumberFormat="1" applyFont="1" applyFill="1" applyBorder="1" applyAlignment="1">
      <alignment horizontal="center" vertical="top"/>
    </xf>
    <xf numFmtId="164" fontId="20" fillId="11" borderId="31" xfId="1" applyNumberFormat="1" applyFont="1" applyFill="1" applyBorder="1" applyAlignment="1">
      <alignment horizontal="center" vertical="top"/>
    </xf>
    <xf numFmtId="164" fontId="21" fillId="3" borderId="13" xfId="0" applyNumberFormat="1" applyFont="1" applyFill="1" applyBorder="1" applyAlignment="1">
      <alignment horizontal="center" vertical="top" wrapText="1"/>
    </xf>
    <xf numFmtId="164" fontId="21" fillId="3" borderId="0" xfId="0" applyNumberFormat="1" applyFont="1" applyFill="1" applyBorder="1" applyAlignment="1">
      <alignment horizontal="center" vertical="top" wrapText="1"/>
    </xf>
    <xf numFmtId="164" fontId="1" fillId="10" borderId="41" xfId="1" applyNumberFormat="1" applyFont="1" applyFill="1" applyBorder="1" applyAlignment="1">
      <alignment horizontal="center" vertical="top"/>
    </xf>
    <xf numFmtId="0" fontId="4" fillId="3" borderId="53" xfId="0" applyFont="1" applyFill="1" applyBorder="1" applyAlignment="1">
      <alignment horizontal="center" vertical="top" wrapText="1"/>
    </xf>
    <xf numFmtId="3" fontId="4" fillId="3" borderId="42" xfId="0" applyNumberFormat="1" applyFont="1" applyFill="1" applyBorder="1" applyAlignment="1">
      <alignment vertical="top" wrapText="1"/>
    </xf>
    <xf numFmtId="3" fontId="4" fillId="0" borderId="31" xfId="0" applyNumberFormat="1" applyFont="1" applyBorder="1" applyAlignment="1">
      <alignment vertical="top"/>
    </xf>
    <xf numFmtId="0" fontId="4" fillId="3" borderId="51" xfId="0" applyFont="1" applyFill="1" applyBorder="1" applyAlignment="1">
      <alignment horizontal="center" vertical="top" wrapText="1"/>
    </xf>
    <xf numFmtId="3" fontId="4" fillId="0" borderId="44" xfId="0" applyNumberFormat="1" applyFont="1" applyBorder="1" applyAlignment="1">
      <alignment vertical="top"/>
    </xf>
    <xf numFmtId="164" fontId="1" fillId="0" borderId="30" xfId="1" applyNumberFormat="1" applyFont="1" applyFill="1" applyBorder="1" applyAlignment="1">
      <alignment horizontal="center" vertical="top"/>
    </xf>
    <xf numFmtId="164" fontId="1" fillId="0" borderId="12" xfId="1" applyNumberFormat="1" applyFont="1" applyFill="1" applyBorder="1" applyAlignment="1">
      <alignment horizontal="center" vertical="top"/>
    </xf>
    <xf numFmtId="164" fontId="1" fillId="0" borderId="68" xfId="1" applyNumberFormat="1" applyFont="1" applyFill="1" applyBorder="1" applyAlignment="1">
      <alignment horizontal="center" vertical="top"/>
    </xf>
    <xf numFmtId="164" fontId="1" fillId="0" borderId="11" xfId="1" applyNumberFormat="1" applyFont="1" applyFill="1" applyBorder="1" applyAlignment="1">
      <alignment horizontal="center" vertical="top"/>
    </xf>
    <xf numFmtId="164" fontId="1" fillId="0" borderId="46" xfId="1" applyNumberFormat="1" applyFont="1" applyFill="1" applyBorder="1" applyAlignment="1">
      <alignment horizontal="center" vertical="top"/>
    </xf>
    <xf numFmtId="3" fontId="6" fillId="4" borderId="38" xfId="0" applyNumberFormat="1" applyFont="1" applyFill="1" applyBorder="1" applyAlignment="1">
      <alignment vertical="top" wrapText="1"/>
    </xf>
    <xf numFmtId="3" fontId="1" fillId="4" borderId="16" xfId="0" applyNumberFormat="1" applyFont="1" applyFill="1" applyBorder="1" applyAlignment="1">
      <alignment vertical="top" wrapText="1"/>
    </xf>
    <xf numFmtId="3" fontId="3" fillId="3" borderId="41" xfId="0" applyNumberFormat="1" applyFont="1" applyFill="1" applyBorder="1" applyAlignment="1">
      <alignment horizontal="center" vertical="top" wrapText="1"/>
    </xf>
    <xf numFmtId="3" fontId="6" fillId="0" borderId="73" xfId="0" applyNumberFormat="1" applyFont="1" applyBorder="1" applyAlignment="1">
      <alignment horizontal="center" vertical="top"/>
    </xf>
    <xf numFmtId="3" fontId="6" fillId="0" borderId="69" xfId="0" applyNumberFormat="1" applyFont="1" applyBorder="1" applyAlignment="1">
      <alignment horizontal="center" vertical="top"/>
    </xf>
    <xf numFmtId="3" fontId="3" fillId="3" borderId="69" xfId="0" applyNumberFormat="1" applyFont="1" applyFill="1" applyBorder="1" applyAlignment="1">
      <alignment horizontal="center" vertical="top"/>
    </xf>
    <xf numFmtId="3" fontId="3" fillId="3" borderId="14" xfId="0" applyNumberFormat="1" applyFont="1" applyFill="1" applyBorder="1" applyAlignment="1">
      <alignment horizontal="center" vertical="top"/>
    </xf>
    <xf numFmtId="3" fontId="3" fillId="3" borderId="14" xfId="0" applyNumberFormat="1" applyFont="1" applyFill="1" applyBorder="1" applyAlignment="1">
      <alignment vertical="top"/>
    </xf>
    <xf numFmtId="3" fontId="4" fillId="4" borderId="38" xfId="0" applyNumberFormat="1" applyFont="1" applyFill="1" applyBorder="1" applyAlignment="1">
      <alignment horizontal="center" vertical="top" wrapText="1"/>
    </xf>
    <xf numFmtId="3" fontId="1" fillId="4" borderId="46" xfId="0" applyNumberFormat="1" applyFont="1" applyFill="1" applyBorder="1" applyAlignment="1">
      <alignment horizontal="center" vertical="top" wrapText="1"/>
    </xf>
    <xf numFmtId="3" fontId="1" fillId="3" borderId="40" xfId="0" applyNumberFormat="1" applyFont="1" applyFill="1" applyBorder="1" applyAlignment="1">
      <alignment horizontal="center" vertical="top" wrapText="1"/>
    </xf>
    <xf numFmtId="49" fontId="1" fillId="0" borderId="16" xfId="1" applyNumberFormat="1" applyFont="1" applyFill="1" applyBorder="1" applyAlignment="1">
      <alignment horizontal="center" vertical="top"/>
    </xf>
    <xf numFmtId="0" fontId="4" fillId="3" borderId="52" xfId="0" applyFont="1" applyFill="1" applyBorder="1" applyAlignment="1">
      <alignment horizontal="left" vertical="top" wrapText="1"/>
    </xf>
    <xf numFmtId="164" fontId="17" fillId="0" borderId="30" xfId="1" applyNumberFormat="1" applyFont="1" applyFill="1" applyBorder="1" applyAlignment="1">
      <alignment horizontal="center" vertical="top"/>
    </xf>
    <xf numFmtId="164" fontId="17" fillId="0" borderId="12" xfId="1" applyNumberFormat="1" applyFont="1" applyFill="1" applyBorder="1" applyAlignment="1">
      <alignment horizontal="center" vertical="top"/>
    </xf>
    <xf numFmtId="164" fontId="17" fillId="0" borderId="68" xfId="1" applyNumberFormat="1" applyFont="1" applyFill="1" applyBorder="1" applyAlignment="1">
      <alignment horizontal="center" vertical="top"/>
    </xf>
    <xf numFmtId="164" fontId="17" fillId="0" borderId="41" xfId="1" applyNumberFormat="1" applyFont="1" applyFill="1" applyBorder="1" applyAlignment="1">
      <alignment horizontal="center" vertical="top"/>
    </xf>
    <xf numFmtId="164" fontId="17" fillId="0" borderId="13" xfId="1" applyNumberFormat="1" applyFont="1" applyFill="1" applyBorder="1" applyAlignment="1">
      <alignment horizontal="center" vertical="top"/>
    </xf>
    <xf numFmtId="164" fontId="17" fillId="0" borderId="77" xfId="1" applyNumberFormat="1" applyFont="1" applyFill="1" applyBorder="1" applyAlignment="1">
      <alignment horizontal="center" vertical="top"/>
    </xf>
    <xf numFmtId="164" fontId="17" fillId="0" borderId="42" xfId="1" applyNumberFormat="1" applyFont="1" applyFill="1" applyBorder="1" applyAlignment="1">
      <alignment horizontal="center" vertical="top"/>
    </xf>
    <xf numFmtId="164" fontId="17" fillId="0" borderId="44" xfId="1" applyNumberFormat="1" applyFont="1" applyFill="1" applyBorder="1" applyAlignment="1">
      <alignment horizontal="center" vertical="top"/>
    </xf>
    <xf numFmtId="164" fontId="17" fillId="0" borderId="70" xfId="1" applyNumberFormat="1" applyFont="1" applyFill="1" applyBorder="1" applyAlignment="1">
      <alignment horizontal="center" vertical="top"/>
    </xf>
    <xf numFmtId="164" fontId="17" fillId="0" borderId="15" xfId="1" applyNumberFormat="1" applyFont="1" applyFill="1" applyBorder="1" applyAlignment="1">
      <alignment horizontal="center" vertical="top"/>
    </xf>
    <xf numFmtId="164" fontId="17" fillId="0" borderId="11" xfId="1" applyNumberFormat="1" applyFont="1" applyFill="1" applyBorder="1" applyAlignment="1">
      <alignment horizontal="center" vertical="top"/>
    </xf>
    <xf numFmtId="164" fontId="17" fillId="0" borderId="19" xfId="1" applyNumberFormat="1" applyFont="1" applyFill="1" applyBorder="1" applyAlignment="1">
      <alignment horizontal="center" vertical="top"/>
    </xf>
    <xf numFmtId="164" fontId="28" fillId="0" borderId="50" xfId="1" applyNumberFormat="1" applyFont="1" applyFill="1" applyBorder="1" applyAlignment="1">
      <alignment horizontal="center" vertical="top"/>
    </xf>
    <xf numFmtId="164" fontId="28" fillId="0" borderId="65" xfId="1" applyNumberFormat="1" applyFont="1" applyFill="1" applyBorder="1" applyAlignment="1">
      <alignment horizontal="center" vertical="top"/>
    </xf>
    <xf numFmtId="164" fontId="28" fillId="3" borderId="49" xfId="0" applyNumberFormat="1" applyFont="1" applyFill="1" applyBorder="1" applyAlignment="1">
      <alignment horizontal="center" vertical="top"/>
    </xf>
    <xf numFmtId="164" fontId="28" fillId="3" borderId="50" xfId="0" applyNumberFormat="1" applyFont="1" applyFill="1" applyBorder="1" applyAlignment="1">
      <alignment horizontal="center" vertical="top"/>
    </xf>
    <xf numFmtId="164" fontId="28" fillId="3" borderId="51" xfId="0" applyNumberFormat="1" applyFont="1" applyFill="1" applyBorder="1" applyAlignment="1">
      <alignment horizontal="center" vertical="top"/>
    </xf>
    <xf numFmtId="164" fontId="28" fillId="0" borderId="48" xfId="1" applyNumberFormat="1" applyFont="1" applyFill="1" applyBorder="1" applyAlignment="1">
      <alignment horizontal="center" vertical="top"/>
    </xf>
    <xf numFmtId="164" fontId="21" fillId="0" borderId="44" xfId="1" applyNumberFormat="1" applyFont="1" applyFill="1" applyBorder="1" applyAlignment="1">
      <alignment horizontal="center" vertical="top"/>
    </xf>
    <xf numFmtId="164" fontId="21" fillId="0" borderId="32" xfId="1" applyNumberFormat="1" applyFont="1" applyFill="1" applyBorder="1" applyAlignment="1">
      <alignment horizontal="center" vertical="top"/>
    </xf>
    <xf numFmtId="164" fontId="21" fillId="0" borderId="31" xfId="1" applyNumberFormat="1" applyFont="1" applyFill="1" applyBorder="1" applyAlignment="1">
      <alignment horizontal="center" vertical="top"/>
    </xf>
    <xf numFmtId="164" fontId="21" fillId="10" borderId="81" xfId="1" applyNumberFormat="1" applyFont="1" applyFill="1" applyBorder="1" applyAlignment="1">
      <alignment horizontal="center" vertical="top"/>
    </xf>
    <xf numFmtId="164" fontId="21" fillId="10" borderId="19" xfId="1" applyNumberFormat="1" applyFont="1" applyFill="1" applyBorder="1" applyAlignment="1">
      <alignment horizontal="center" vertical="top"/>
    </xf>
    <xf numFmtId="164" fontId="21" fillId="11" borderId="50" xfId="1" applyNumberFormat="1" applyFont="1" applyFill="1" applyBorder="1" applyAlignment="1">
      <alignment horizontal="center" vertical="top"/>
    </xf>
    <xf numFmtId="164" fontId="21" fillId="11" borderId="51" xfId="1" applyNumberFormat="1" applyFont="1" applyFill="1" applyBorder="1" applyAlignment="1">
      <alignment horizontal="center" vertical="top"/>
    </xf>
    <xf numFmtId="3" fontId="20" fillId="3" borderId="46" xfId="0" applyNumberFormat="1" applyFont="1" applyFill="1" applyBorder="1" applyAlignment="1">
      <alignment horizontal="left" vertical="top" wrapText="1"/>
    </xf>
    <xf numFmtId="3" fontId="37" fillId="3" borderId="17" xfId="0" applyNumberFormat="1" applyFont="1" applyFill="1" applyBorder="1" applyAlignment="1">
      <alignment horizontal="center" vertical="top"/>
    </xf>
    <xf numFmtId="49" fontId="17" fillId="3" borderId="46" xfId="1" applyNumberFormat="1" applyFont="1" applyFill="1" applyBorder="1" applyAlignment="1">
      <alignment horizontal="center" vertical="top" wrapText="1"/>
    </xf>
    <xf numFmtId="164" fontId="28" fillId="0" borderId="12" xfId="1" applyNumberFormat="1" applyFont="1" applyFill="1" applyBorder="1" applyAlignment="1">
      <alignment horizontal="center" vertical="top"/>
    </xf>
    <xf numFmtId="164" fontId="28" fillId="0" borderId="47" xfId="1" applyNumberFormat="1" applyFont="1" applyFill="1" applyBorder="1" applyAlignment="1">
      <alignment horizontal="center" vertical="top"/>
    </xf>
    <xf numFmtId="164" fontId="21" fillId="0" borderId="6" xfId="0" applyNumberFormat="1" applyFont="1" applyFill="1" applyBorder="1" applyAlignment="1">
      <alignment horizontal="center" vertical="top"/>
    </xf>
    <xf numFmtId="3" fontId="38" fillId="3" borderId="51" xfId="0" applyNumberFormat="1" applyFont="1" applyFill="1" applyBorder="1" applyAlignment="1">
      <alignment horizontal="center" vertical="top"/>
    </xf>
    <xf numFmtId="3" fontId="20" fillId="3" borderId="35" xfId="0" applyNumberFormat="1" applyFont="1" applyFill="1" applyBorder="1" applyAlignment="1">
      <alignment horizontal="center" vertical="top" wrapText="1"/>
    </xf>
    <xf numFmtId="164" fontId="21" fillId="3" borderId="32" xfId="0" applyNumberFormat="1" applyFont="1" applyFill="1" applyBorder="1" applyAlignment="1">
      <alignment horizontal="center" vertical="top"/>
    </xf>
    <xf numFmtId="164" fontId="21" fillId="3" borderId="44" xfId="0" applyNumberFormat="1" applyFont="1" applyFill="1" applyBorder="1" applyAlignment="1">
      <alignment horizontal="center" vertical="top" wrapText="1"/>
    </xf>
    <xf numFmtId="164" fontId="21" fillId="3" borderId="32" xfId="0" applyNumberFormat="1" applyFont="1" applyFill="1" applyBorder="1" applyAlignment="1">
      <alignment horizontal="center" vertical="top" wrapText="1"/>
    </xf>
    <xf numFmtId="0" fontId="21" fillId="3" borderId="71" xfId="0" applyFont="1" applyFill="1" applyBorder="1" applyAlignment="1">
      <alignment vertical="top" wrapText="1"/>
    </xf>
    <xf numFmtId="0" fontId="21" fillId="3" borderId="17" xfId="0" applyFont="1" applyFill="1" applyBorder="1" applyAlignment="1">
      <alignment horizontal="center" vertical="top" wrapText="1"/>
    </xf>
    <xf numFmtId="0" fontId="21" fillId="3" borderId="12" xfId="0"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49" fontId="3" fillId="0" borderId="23" xfId="0" applyNumberFormat="1" applyFont="1" applyBorder="1" applyAlignment="1">
      <alignment horizontal="center" vertical="top"/>
    </xf>
    <xf numFmtId="49" fontId="6" fillId="0" borderId="5" xfId="0" applyNumberFormat="1" applyFont="1" applyBorder="1" applyAlignment="1">
      <alignment horizontal="center" vertical="top"/>
    </xf>
    <xf numFmtId="49" fontId="3" fillId="0" borderId="14" xfId="0" applyNumberFormat="1" applyFont="1" applyBorder="1" applyAlignment="1">
      <alignment horizontal="center" vertical="top"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21" fillId="3" borderId="65" xfId="0" applyNumberFormat="1" applyFont="1" applyFill="1" applyBorder="1" applyAlignment="1">
      <alignment horizontal="center" vertical="top"/>
    </xf>
    <xf numFmtId="164" fontId="21" fillId="3" borderId="3" xfId="0" applyNumberFormat="1" applyFont="1" applyFill="1" applyBorder="1" applyAlignment="1">
      <alignment horizontal="center" vertical="top"/>
    </xf>
    <xf numFmtId="164" fontId="21" fillId="3" borderId="29" xfId="0" applyNumberFormat="1" applyFont="1" applyFill="1" applyBorder="1" applyAlignment="1">
      <alignment horizontal="center" vertical="top"/>
    </xf>
    <xf numFmtId="164" fontId="21" fillId="4" borderId="12" xfId="0" applyNumberFormat="1" applyFont="1" applyFill="1" applyBorder="1" applyAlignment="1">
      <alignment horizontal="center" vertical="top"/>
    </xf>
    <xf numFmtId="164" fontId="21" fillId="4" borderId="47" xfId="0" applyNumberFormat="1" applyFont="1" applyFill="1" applyBorder="1" applyAlignment="1">
      <alignment horizontal="center" vertical="top"/>
    </xf>
    <xf numFmtId="3" fontId="21" fillId="3" borderId="16" xfId="0" applyNumberFormat="1" applyFont="1" applyFill="1" applyBorder="1" applyAlignment="1">
      <alignment vertical="top" wrapText="1"/>
    </xf>
    <xf numFmtId="3" fontId="1" fillId="3" borderId="16" xfId="0" applyNumberFormat="1" applyFont="1" applyFill="1" applyBorder="1" applyAlignment="1">
      <alignment vertical="top" wrapText="1"/>
    </xf>
    <xf numFmtId="3" fontId="21" fillId="0" borderId="35" xfId="0" applyNumberFormat="1" applyFont="1" applyFill="1" applyBorder="1" applyAlignment="1">
      <alignment horizontal="center" vertical="top" wrapText="1"/>
    </xf>
    <xf numFmtId="164" fontId="21" fillId="4" borderId="6" xfId="0" applyNumberFormat="1" applyFont="1" applyFill="1" applyBorder="1" applyAlignment="1">
      <alignment horizontal="center" vertical="top" wrapText="1"/>
    </xf>
    <xf numFmtId="49" fontId="20" fillId="0" borderId="51" xfId="0" applyNumberFormat="1" applyFont="1" applyFill="1" applyBorder="1" applyAlignment="1">
      <alignment horizontal="center" vertical="top"/>
    </xf>
    <xf numFmtId="3" fontId="4" fillId="0" borderId="65" xfId="0" applyNumberFormat="1" applyFont="1" applyFill="1" applyBorder="1" applyAlignment="1">
      <alignment horizontal="left" vertical="top" wrapText="1"/>
    </xf>
    <xf numFmtId="3" fontId="20" fillId="0" borderId="51" xfId="0" applyNumberFormat="1" applyFont="1" applyBorder="1" applyAlignment="1">
      <alignment horizontal="center" vertical="top"/>
    </xf>
    <xf numFmtId="3" fontId="20" fillId="0" borderId="48" xfId="0" applyNumberFormat="1" applyFont="1" applyFill="1" applyBorder="1" applyAlignment="1">
      <alignment vertical="top" wrapText="1"/>
    </xf>
    <xf numFmtId="0" fontId="10" fillId="0" borderId="65" xfId="0" applyFont="1" applyFill="1" applyBorder="1" applyAlignment="1">
      <alignment horizontal="left" vertical="top" wrapText="1"/>
    </xf>
    <xf numFmtId="3" fontId="20" fillId="3" borderId="51" xfId="0" applyNumberFormat="1" applyFont="1" applyFill="1" applyBorder="1" applyAlignment="1">
      <alignment horizontal="center" vertical="top" wrapText="1"/>
    </xf>
    <xf numFmtId="0" fontId="10" fillId="3" borderId="65" xfId="0" applyFont="1" applyFill="1" applyBorder="1" applyAlignment="1">
      <alignment horizontal="left"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21" fillId="3" borderId="17" xfId="0" applyNumberFormat="1" applyFont="1" applyFill="1" applyBorder="1" applyAlignment="1">
      <alignment horizontal="center" vertical="top" wrapText="1"/>
    </xf>
    <xf numFmtId="164" fontId="21" fillId="0" borderId="50" xfId="0" applyNumberFormat="1" applyFont="1" applyBorder="1" applyAlignment="1">
      <alignment horizontal="center" vertical="top" wrapText="1"/>
    </xf>
    <xf numFmtId="164" fontId="21" fillId="0" borderId="44" xfId="0" applyNumberFormat="1" applyFont="1" applyBorder="1" applyAlignment="1">
      <alignment horizontal="center" vertical="top" wrapText="1"/>
    </xf>
    <xf numFmtId="164" fontId="21" fillId="0" borderId="18" xfId="0" applyNumberFormat="1" applyFont="1" applyBorder="1" applyAlignment="1">
      <alignment horizontal="center" vertical="top" wrapText="1"/>
    </xf>
    <xf numFmtId="164" fontId="21" fillId="0" borderId="51" xfId="0" applyNumberFormat="1" applyFont="1" applyBorder="1" applyAlignment="1">
      <alignment horizontal="center" vertical="top" wrapText="1"/>
    </xf>
    <xf numFmtId="3" fontId="38" fillId="3" borderId="0" xfId="0" applyNumberFormat="1" applyFont="1" applyFill="1" applyBorder="1" applyAlignment="1">
      <alignment horizontal="center" vertical="top"/>
    </xf>
    <xf numFmtId="3" fontId="20" fillId="3" borderId="44" xfId="0" applyNumberFormat="1" applyFont="1" applyFill="1" applyBorder="1" applyAlignment="1">
      <alignment horizontal="center" vertical="top" wrapText="1"/>
    </xf>
    <xf numFmtId="0" fontId="29" fillId="3" borderId="14" xfId="0" applyFont="1" applyFill="1" applyBorder="1" applyAlignment="1">
      <alignment horizontal="center" vertical="top" wrapText="1"/>
    </xf>
    <xf numFmtId="0" fontId="20" fillId="3" borderId="14" xfId="0" applyFont="1" applyFill="1" applyBorder="1" applyAlignment="1">
      <alignment horizontal="center" vertical="top" wrapText="1"/>
    </xf>
    <xf numFmtId="164" fontId="17" fillId="0" borderId="49" xfId="1" applyNumberFormat="1" applyFont="1" applyFill="1" applyBorder="1" applyAlignment="1">
      <alignment horizontal="center" vertical="top"/>
    </xf>
    <xf numFmtId="164" fontId="17" fillId="0" borderId="52" xfId="1" applyNumberFormat="1" applyFont="1" applyFill="1" applyBorder="1" applyAlignment="1">
      <alignment horizontal="center" vertical="top"/>
    </xf>
    <xf numFmtId="164" fontId="1" fillId="3" borderId="2" xfId="0" applyNumberFormat="1" applyFont="1" applyFill="1" applyBorder="1" applyAlignment="1">
      <alignment horizontal="center" vertical="top"/>
    </xf>
    <xf numFmtId="3" fontId="4" fillId="5" borderId="43" xfId="0" applyNumberFormat="1" applyFont="1" applyFill="1" applyBorder="1" applyAlignment="1">
      <alignment horizontal="left" vertical="top" wrapText="1"/>
    </xf>
    <xf numFmtId="3" fontId="4" fillId="5" borderId="44"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4" fillId="5" borderId="11"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5" borderId="3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68" xfId="0" applyNumberFormat="1" applyFont="1" applyFill="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3" borderId="52" xfId="0" applyNumberFormat="1" applyFont="1" applyFill="1" applyBorder="1" applyAlignment="1">
      <alignment horizontal="left"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3" fillId="5" borderId="27" xfId="0" applyNumberFormat="1" applyFont="1" applyFill="1" applyBorder="1" applyAlignment="1">
      <alignment horizontal="right" vertical="top" wrapText="1"/>
    </xf>
    <xf numFmtId="3" fontId="3" fillId="5" borderId="28" xfId="0" applyNumberFormat="1" applyFont="1" applyFill="1" applyBorder="1" applyAlignment="1">
      <alignment horizontal="right" vertical="top" wrapText="1"/>
    </xf>
    <xf numFmtId="3" fontId="3" fillId="5" borderId="29" xfId="0" applyNumberFormat="1" applyFont="1" applyFill="1" applyBorder="1" applyAlignment="1">
      <alignment horizontal="right" vertical="top" wrapText="1"/>
    </xf>
    <xf numFmtId="3" fontId="4" fillId="5" borderId="19" xfId="0" applyNumberFormat="1"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4" fillId="3" borderId="40"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49" fontId="3" fillId="7" borderId="59"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3"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3" borderId="36"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0" borderId="14" xfId="0" applyNumberFormat="1" applyFont="1" applyBorder="1" applyAlignment="1">
      <alignment horizontal="center" vertical="top"/>
    </xf>
    <xf numFmtId="3" fontId="37"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0" fontId="1" fillId="3" borderId="52" xfId="0" applyFont="1" applyFill="1" applyBorder="1" applyAlignment="1">
      <alignment horizontal="left" vertical="top" wrapText="1"/>
    </xf>
    <xf numFmtId="3" fontId="3" fillId="2" borderId="35" xfId="0" applyNumberFormat="1" applyFont="1" applyFill="1" applyBorder="1" applyAlignment="1">
      <alignment horizontal="left"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9" borderId="74" xfId="0" applyNumberFormat="1" applyFont="1" applyFill="1" applyBorder="1" applyAlignment="1">
      <alignment horizontal="left" vertical="top" wrapText="1"/>
    </xf>
    <xf numFmtId="3" fontId="3" fillId="9" borderId="56" xfId="0" applyNumberFormat="1" applyFont="1" applyFill="1" applyBorder="1" applyAlignment="1">
      <alignment horizontal="left" vertical="top" wrapText="1"/>
    </xf>
    <xf numFmtId="3" fontId="3" fillId="9" borderId="57" xfId="0" applyNumberFormat="1" applyFont="1" applyFill="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42"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xf>
    <xf numFmtId="3" fontId="3" fillId="7" borderId="19"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48" xfId="0" applyNumberFormat="1" applyFont="1" applyFill="1" applyBorder="1" applyAlignment="1">
      <alignment horizontal="left" vertical="top" wrapText="1"/>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0" fontId="4" fillId="3" borderId="16"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48" xfId="0" applyNumberFormat="1" applyFont="1" applyFill="1" applyBorder="1" applyAlignment="1">
      <alignment horizontal="left" vertical="top" wrapText="1"/>
    </xf>
    <xf numFmtId="164" fontId="1" fillId="3" borderId="40" xfId="0" applyNumberFormat="1" applyFont="1" applyFill="1" applyBorder="1" applyAlignment="1">
      <alignment horizontal="left" vertical="top" wrapText="1"/>
    </xf>
    <xf numFmtId="164" fontId="1" fillId="3" borderId="48" xfId="0" applyNumberFormat="1" applyFont="1" applyFill="1" applyBorder="1" applyAlignment="1">
      <alignment horizontal="left" vertical="top" wrapText="1"/>
    </xf>
    <xf numFmtId="3" fontId="3" fillId="5" borderId="11" xfId="0" applyNumberFormat="1" applyFont="1" applyFill="1" applyBorder="1" applyAlignment="1">
      <alignment horizontal="right" vertical="top" wrapText="1"/>
    </xf>
    <xf numFmtId="3" fontId="3" fillId="5" borderId="12" xfId="0" applyNumberFormat="1" applyFont="1" applyFill="1" applyBorder="1" applyAlignment="1">
      <alignment horizontal="right" vertical="top" wrapText="1"/>
    </xf>
    <xf numFmtId="3" fontId="3" fillId="5" borderId="17" xfId="0" applyNumberFormat="1" applyFont="1" applyFill="1" applyBorder="1" applyAlignment="1">
      <alignment horizontal="righ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25" xfId="0" applyFont="1" applyFill="1" applyBorder="1" applyAlignment="1">
      <alignment horizontal="left" vertical="top" wrapText="1"/>
    </xf>
    <xf numFmtId="3" fontId="3" fillId="5" borderId="62" xfId="0" applyNumberFormat="1" applyFont="1" applyFill="1" applyBorder="1" applyAlignment="1">
      <alignment horizontal="right" vertical="top" wrapText="1"/>
    </xf>
    <xf numFmtId="3" fontId="3" fillId="5" borderId="1" xfId="0" applyNumberFormat="1" applyFont="1" applyFill="1" applyBorder="1" applyAlignment="1">
      <alignment horizontal="right" vertical="top" wrapText="1"/>
    </xf>
    <xf numFmtId="3" fontId="3" fillId="5" borderId="20" xfId="0" applyNumberFormat="1" applyFont="1" applyFill="1" applyBorder="1" applyAlignment="1">
      <alignment horizontal="right" vertical="top" wrapText="1"/>
    </xf>
    <xf numFmtId="3" fontId="3" fillId="5" borderId="21" xfId="0" applyNumberFormat="1" applyFont="1" applyFill="1" applyBorder="1" applyAlignment="1">
      <alignment horizontal="right" vertical="top" wrapText="1"/>
    </xf>
    <xf numFmtId="3" fontId="3" fillId="5" borderId="74" xfId="0" applyNumberFormat="1" applyFont="1" applyFill="1" applyBorder="1" applyAlignment="1">
      <alignment horizontal="righ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3" fillId="8" borderId="30" xfId="0" applyNumberFormat="1" applyFont="1" applyFill="1" applyBorder="1" applyAlignment="1">
      <alignment horizontal="left" vertical="top" wrapText="1"/>
    </xf>
    <xf numFmtId="3" fontId="3" fillId="8" borderId="18" xfId="0" applyNumberFormat="1" applyFont="1" applyFill="1" applyBorder="1" applyAlignment="1">
      <alignment horizontal="left" vertical="top" wrapText="1"/>
    </xf>
    <xf numFmtId="3" fontId="3" fillId="8" borderId="36" xfId="0" applyNumberFormat="1" applyFont="1" applyFill="1" applyBorder="1" applyAlignment="1">
      <alignment horizontal="left" vertical="top" wrapText="1"/>
    </xf>
    <xf numFmtId="3" fontId="3" fillId="8" borderId="4" xfId="0" applyNumberFormat="1" applyFont="1" applyFill="1" applyBorder="1" applyAlignment="1">
      <alignment horizontal="left" vertical="top" wrapText="1"/>
    </xf>
    <xf numFmtId="3" fontId="3" fillId="8" borderId="5" xfId="0" applyNumberFormat="1" applyFont="1" applyFill="1" applyBorder="1" applyAlignment="1">
      <alignment horizontal="left" vertical="top" wrapText="1"/>
    </xf>
    <xf numFmtId="3" fontId="21" fillId="0" borderId="7" xfId="0" applyNumberFormat="1" applyFont="1" applyFill="1" applyBorder="1" applyAlignment="1">
      <alignment horizontal="left" vertical="top" wrapText="1"/>
    </xf>
    <xf numFmtId="3" fontId="21" fillId="0" borderId="25" xfId="0" applyNumberFormat="1" applyFont="1" applyFill="1" applyBorder="1" applyAlignment="1">
      <alignment horizontal="left" vertical="top" wrapText="1"/>
    </xf>
    <xf numFmtId="3" fontId="1" fillId="3" borderId="25" xfId="0" applyNumberFormat="1" applyFont="1" applyFill="1" applyBorder="1" applyAlignment="1">
      <alignment horizontal="left" vertical="top" wrapText="1"/>
    </xf>
    <xf numFmtId="3" fontId="1" fillId="3" borderId="16" xfId="0" applyNumberFormat="1" applyFont="1" applyFill="1" applyBorder="1" applyAlignment="1">
      <alignment vertical="top" wrapText="1"/>
    </xf>
    <xf numFmtId="3" fontId="20" fillId="3" borderId="7" xfId="0" applyNumberFormat="1" applyFont="1" applyFill="1" applyBorder="1" applyAlignment="1">
      <alignment horizontal="left" vertical="top" wrapText="1"/>
    </xf>
    <xf numFmtId="3" fontId="20" fillId="3" borderId="25" xfId="0" applyNumberFormat="1" applyFont="1" applyFill="1" applyBorder="1" applyAlignment="1">
      <alignment horizontal="left" vertical="top" wrapText="1"/>
    </xf>
    <xf numFmtId="3" fontId="20" fillId="3" borderId="42" xfId="0" applyNumberFormat="1" applyFont="1" applyFill="1" applyBorder="1" applyAlignment="1">
      <alignment horizontal="left" vertical="top"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3" borderId="4" xfId="0" applyFont="1" applyFill="1" applyBorder="1" applyAlignment="1">
      <alignment horizontal="center" vertical="center" textRotation="90" wrapText="1" shrinkToFit="1"/>
    </xf>
    <xf numFmtId="0" fontId="1" fillId="3" borderId="13" xfId="0" applyFont="1" applyFill="1" applyBorder="1" applyAlignment="1">
      <alignment horizontal="center" vertical="center" textRotation="90" wrapText="1" shrinkToFit="1"/>
    </xf>
    <xf numFmtId="0" fontId="1" fillId="3" borderId="22" xfId="0" applyFont="1" applyFill="1" applyBorder="1" applyAlignment="1">
      <alignment horizontal="center" vertical="center" textRotation="90" wrapText="1" shrinkToFi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3" fillId="9" borderId="62" xfId="0" applyNumberFormat="1" applyFont="1" applyFill="1" applyBorder="1" applyAlignment="1">
      <alignment horizontal="left" vertical="top" wrapText="1"/>
    </xf>
    <xf numFmtId="3" fontId="3" fillId="9" borderId="1" xfId="0" applyNumberFormat="1" applyFont="1" applyFill="1" applyBorder="1" applyAlignment="1">
      <alignment horizontal="left" vertical="top" wrapText="1"/>
    </xf>
    <xf numFmtId="3" fontId="3" fillId="9" borderId="24" xfId="0" applyNumberFormat="1" applyFont="1" applyFill="1" applyBorder="1" applyAlignment="1">
      <alignment horizontal="left" vertical="top" wrapText="1"/>
    </xf>
    <xf numFmtId="3" fontId="30" fillId="3" borderId="41" xfId="0" applyNumberFormat="1" applyFont="1" applyFill="1" applyBorder="1" applyAlignment="1">
      <alignment horizontal="left" vertical="top" wrapText="1"/>
    </xf>
    <xf numFmtId="1" fontId="1" fillId="3" borderId="7" xfId="0" applyNumberFormat="1" applyFont="1" applyFill="1" applyBorder="1" applyAlignment="1">
      <alignment horizontal="left" vertical="top" wrapText="1"/>
    </xf>
    <xf numFmtId="1" fontId="1" fillId="3" borderId="16" xfId="0" applyNumberFormat="1" applyFont="1" applyFill="1" applyBorder="1" applyAlignment="1">
      <alignment horizontal="left" vertical="top" wrapText="1"/>
    </xf>
    <xf numFmtId="1" fontId="1" fillId="3" borderId="48" xfId="0" applyNumberFormat="1" applyFont="1" applyFill="1" applyBorder="1" applyAlignment="1">
      <alignment horizontal="left" vertical="top" wrapText="1"/>
    </xf>
    <xf numFmtId="0" fontId="11" fillId="0" borderId="0" xfId="0" applyFont="1" applyAlignment="1">
      <alignment horizontal="right" vertical="top" wrapText="1"/>
    </xf>
    <xf numFmtId="164" fontId="1" fillId="0" borderId="35" xfId="0" applyNumberFormat="1" applyFont="1" applyBorder="1" applyAlignment="1">
      <alignment horizontal="center" vertical="center" textRotation="90" wrapText="1"/>
    </xf>
    <xf numFmtId="164" fontId="1" fillId="0" borderId="0" xfId="0" applyNumberFormat="1" applyFont="1" applyBorder="1" applyAlignment="1">
      <alignment horizontal="center" vertical="center" textRotation="90" wrapText="1"/>
    </xf>
    <xf numFmtId="164" fontId="1" fillId="0" borderId="61" xfId="0" applyNumberFormat="1" applyFont="1" applyBorder="1" applyAlignment="1">
      <alignment horizontal="center" vertical="center" textRotation="90" wrapText="1"/>
    </xf>
    <xf numFmtId="164" fontId="1" fillId="0" borderId="54" xfId="0" applyNumberFormat="1" applyFont="1" applyBorder="1" applyAlignment="1">
      <alignment horizontal="center" vertical="center" textRotation="90" wrapText="1"/>
    </xf>
    <xf numFmtId="164" fontId="1" fillId="0" borderId="60"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164" fontId="1" fillId="0" borderId="79" xfId="0" applyNumberFormat="1" applyFont="1" applyBorder="1" applyAlignment="1">
      <alignment horizontal="center" vertical="center" textRotation="90" wrapText="1"/>
    </xf>
    <xf numFmtId="164" fontId="1" fillId="0" borderId="77" xfId="0" applyNumberFormat="1" applyFont="1" applyBorder="1" applyAlignment="1">
      <alignment horizontal="center" vertical="center" textRotation="90" wrapText="1"/>
    </xf>
    <xf numFmtId="164" fontId="1" fillId="0" borderId="7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3" borderId="35" xfId="0" applyNumberFormat="1" applyFont="1" applyFill="1" applyBorder="1" applyAlignment="1">
      <alignment horizontal="left" vertical="top"/>
    </xf>
    <xf numFmtId="3" fontId="4" fillId="0" borderId="19" xfId="0" applyNumberFormat="1" applyFont="1" applyBorder="1" applyAlignment="1">
      <alignment horizontal="left"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3" borderId="7"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6" fillId="5" borderId="57" xfId="0" applyNumberFormat="1" applyFont="1" applyFill="1" applyBorder="1" applyAlignment="1">
      <alignment horizontal="right" vertical="top" wrapText="1"/>
    </xf>
    <xf numFmtId="49" fontId="6" fillId="0" borderId="5" xfId="0" applyNumberFormat="1" applyFont="1" applyBorder="1" applyAlignment="1">
      <alignment horizontal="center" vertical="top"/>
    </xf>
    <xf numFmtId="49" fontId="6" fillId="0" borderId="23" xfId="0" applyNumberFormat="1" applyFont="1" applyBorder="1" applyAlignment="1">
      <alignment horizontal="center" vertical="top"/>
    </xf>
    <xf numFmtId="0" fontId="10" fillId="3" borderId="42" xfId="0" applyFont="1" applyFill="1" applyBorder="1" applyAlignment="1">
      <alignment horizontal="left" vertical="top" wrapText="1"/>
    </xf>
    <xf numFmtId="0" fontId="10" fillId="3" borderId="62" xfId="0"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49" fontId="3" fillId="0" borderId="14"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3" fontId="4" fillId="3" borderId="48"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42" xfId="0" applyNumberFormat="1" applyFont="1" applyBorder="1" applyAlignment="1">
      <alignment horizontal="left" vertical="top" wrapText="1"/>
    </xf>
    <xf numFmtId="3" fontId="4" fillId="0" borderId="49" xfId="0" applyNumberFormat="1" applyFont="1" applyBorder="1" applyAlignment="1">
      <alignment horizontal="left" vertical="top"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7" fillId="3" borderId="40"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24" xfId="0" applyNumberFormat="1" applyFont="1" applyBorder="1" applyAlignment="1">
      <alignment horizontal="center" vertical="center" textRotation="90"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0" fontId="15" fillId="0" borderId="47" xfId="0" applyFont="1" applyBorder="1" applyAlignment="1">
      <alignment horizontal="center" vertical="top"/>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7"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3" fillId="8" borderId="76" xfId="0" applyNumberFormat="1" applyFont="1" applyFill="1" applyBorder="1" applyAlignment="1">
      <alignment horizontal="left" vertical="top" wrapText="1"/>
    </xf>
    <xf numFmtId="3" fontId="3" fillId="5" borderId="76" xfId="0" applyNumberFormat="1" applyFont="1" applyFill="1" applyBorder="1" applyAlignment="1">
      <alignment horizontal="right" vertical="top" wrapText="1"/>
    </xf>
    <xf numFmtId="3" fontId="1" fillId="4" borderId="0"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3" fillId="2" borderId="10" xfId="0" applyNumberFormat="1" applyFont="1" applyFill="1" applyBorder="1" applyAlignment="1">
      <alignment horizontal="right" vertical="top"/>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21" fillId="3" borderId="16"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16" fillId="0" borderId="39" xfId="0" applyNumberFormat="1" applyFont="1" applyFill="1" applyBorder="1" applyAlignment="1">
      <alignment horizontal="center" vertical="center" textRotation="90"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5" fillId="8" borderId="30"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4"/>
  <sheetViews>
    <sheetView tabSelected="1" zoomScaleNormal="100" zoomScaleSheetLayoutView="70" workbookViewId="0"/>
  </sheetViews>
  <sheetFormatPr defaultColWidth="9.140625" defaultRowHeight="15" x14ac:dyDescent="0.25"/>
  <cols>
    <col min="1" max="3" width="3.28515625" style="123" customWidth="1"/>
    <col min="4" max="4" width="25.28515625" style="121" customWidth="1"/>
    <col min="5" max="5" width="3.28515625" style="2173" customWidth="1"/>
    <col min="6" max="6" width="3.140625" style="2174" customWidth="1"/>
    <col min="7" max="7" width="8.5703125" style="121" customWidth="1"/>
    <col min="8" max="10" width="8.140625" style="123" customWidth="1"/>
    <col min="11" max="11" width="24.28515625" style="121" customWidth="1"/>
    <col min="12" max="13" width="6" style="1107" customWidth="1"/>
    <col min="14" max="14" width="5.85546875" style="1107" customWidth="1"/>
    <col min="15" max="16384" width="9.140625" style="121"/>
  </cols>
  <sheetData>
    <row r="1" spans="1:19" s="215" customFormat="1" ht="60" customHeight="1" x14ac:dyDescent="0.25">
      <c r="A1" s="212"/>
      <c r="B1" s="212"/>
      <c r="C1" s="212"/>
      <c r="D1" s="212"/>
      <c r="E1" s="213"/>
      <c r="F1" s="395"/>
      <c r="G1" s="214"/>
      <c r="H1" s="214"/>
      <c r="I1" s="399"/>
      <c r="J1" s="2520" t="s">
        <v>323</v>
      </c>
      <c r="K1" s="2520"/>
      <c r="L1" s="2520"/>
      <c r="M1" s="2520"/>
      <c r="N1" s="2520"/>
    </row>
    <row r="2" spans="1:19" s="118" customFormat="1" ht="16.5" customHeight="1" x14ac:dyDescent="0.25">
      <c r="A2" s="2521" t="s">
        <v>314</v>
      </c>
      <c r="B2" s="2521"/>
      <c r="C2" s="2521"/>
      <c r="D2" s="2521"/>
      <c r="E2" s="2521"/>
      <c r="F2" s="2521"/>
      <c r="G2" s="2521"/>
      <c r="H2" s="2521"/>
      <c r="I2" s="2521"/>
      <c r="J2" s="2521"/>
      <c r="K2" s="2521"/>
      <c r="L2" s="2521"/>
      <c r="M2" s="2521"/>
      <c r="N2" s="2521"/>
    </row>
    <row r="3" spans="1:19" s="119" customFormat="1" ht="16.5" customHeight="1" x14ac:dyDescent="0.25">
      <c r="A3" s="2522" t="s">
        <v>0</v>
      </c>
      <c r="B3" s="2522"/>
      <c r="C3" s="2522"/>
      <c r="D3" s="2522"/>
      <c r="E3" s="2522"/>
      <c r="F3" s="2522"/>
      <c r="G3" s="2522"/>
      <c r="H3" s="2522"/>
      <c r="I3" s="2522"/>
      <c r="J3" s="2522"/>
      <c r="K3" s="2522"/>
      <c r="L3" s="2522"/>
      <c r="M3" s="2522"/>
      <c r="N3" s="2522"/>
    </row>
    <row r="4" spans="1:19" s="119" customFormat="1" ht="16.5" customHeight="1" x14ac:dyDescent="0.25">
      <c r="A4" s="2523" t="s">
        <v>1</v>
      </c>
      <c r="B4" s="2523"/>
      <c r="C4" s="2523"/>
      <c r="D4" s="2523"/>
      <c r="E4" s="2523"/>
      <c r="F4" s="2523"/>
      <c r="G4" s="2523"/>
      <c r="H4" s="2523"/>
      <c r="I4" s="2523"/>
      <c r="J4" s="2523"/>
      <c r="K4" s="2523"/>
      <c r="L4" s="2523"/>
      <c r="M4" s="2523"/>
      <c r="N4" s="2523"/>
    </row>
    <row r="5" spans="1:19" s="2" customFormat="1" ht="21.75" customHeight="1" thickBot="1" x14ac:dyDescent="0.25">
      <c r="A5" s="2524" t="s">
        <v>2</v>
      </c>
      <c r="B5" s="2524"/>
      <c r="C5" s="2524"/>
      <c r="D5" s="2524"/>
      <c r="E5" s="2524"/>
      <c r="F5" s="2524"/>
      <c r="G5" s="2524"/>
      <c r="H5" s="2524"/>
      <c r="I5" s="2524"/>
      <c r="J5" s="2524"/>
      <c r="K5" s="2524"/>
      <c r="L5" s="2524"/>
      <c r="M5" s="2524"/>
      <c r="N5" s="2524"/>
    </row>
    <row r="6" spans="1:19" s="3" customFormat="1" ht="18.75" customHeight="1" x14ac:dyDescent="0.25">
      <c r="A6" s="2525" t="s">
        <v>3</v>
      </c>
      <c r="B6" s="2528" t="s">
        <v>4</v>
      </c>
      <c r="C6" s="2531" t="s">
        <v>5</v>
      </c>
      <c r="D6" s="2534" t="s">
        <v>6</v>
      </c>
      <c r="E6" s="2537" t="s">
        <v>7</v>
      </c>
      <c r="F6" s="2506" t="s">
        <v>8</v>
      </c>
      <c r="G6" s="2509" t="s">
        <v>9</v>
      </c>
      <c r="H6" s="2512" t="s">
        <v>249</v>
      </c>
      <c r="I6" s="2514" t="s">
        <v>183</v>
      </c>
      <c r="J6" s="2517" t="s">
        <v>299</v>
      </c>
      <c r="K6" s="2490" t="s">
        <v>10</v>
      </c>
      <c r="L6" s="2491"/>
      <c r="M6" s="2491"/>
      <c r="N6" s="2492"/>
    </row>
    <row r="7" spans="1:19" s="3" customFormat="1" ht="17.25" customHeight="1" x14ac:dyDescent="0.25">
      <c r="A7" s="2526"/>
      <c r="B7" s="2529"/>
      <c r="C7" s="2532"/>
      <c r="D7" s="2535"/>
      <c r="E7" s="2538"/>
      <c r="F7" s="2507"/>
      <c r="G7" s="2510"/>
      <c r="H7" s="2513"/>
      <c r="I7" s="2515"/>
      <c r="J7" s="2518"/>
      <c r="K7" s="2493" t="s">
        <v>6</v>
      </c>
      <c r="L7" s="2495" t="s">
        <v>11</v>
      </c>
      <c r="M7" s="2496"/>
      <c r="N7" s="2497"/>
    </row>
    <row r="8" spans="1:19" s="3" customFormat="1" ht="82.5" customHeight="1" thickBot="1" x14ac:dyDescent="0.3">
      <c r="A8" s="2527"/>
      <c r="B8" s="2530"/>
      <c r="C8" s="2533"/>
      <c r="D8" s="2536"/>
      <c r="E8" s="2539"/>
      <c r="F8" s="2508"/>
      <c r="G8" s="2511"/>
      <c r="H8" s="2513"/>
      <c r="I8" s="2516"/>
      <c r="J8" s="2518"/>
      <c r="K8" s="2494"/>
      <c r="L8" s="1305" t="s">
        <v>132</v>
      </c>
      <c r="M8" s="4" t="s">
        <v>184</v>
      </c>
      <c r="N8" s="1096" t="s">
        <v>302</v>
      </c>
    </row>
    <row r="9" spans="1:19" s="2" customFormat="1" ht="16.5" customHeight="1" x14ac:dyDescent="0.25">
      <c r="A9" s="2498" t="s">
        <v>13</v>
      </c>
      <c r="B9" s="2499"/>
      <c r="C9" s="2499"/>
      <c r="D9" s="2499"/>
      <c r="E9" s="2499"/>
      <c r="F9" s="2499"/>
      <c r="G9" s="2499"/>
      <c r="H9" s="2499"/>
      <c r="I9" s="2499"/>
      <c r="J9" s="2499"/>
      <c r="K9" s="2499"/>
      <c r="L9" s="2499"/>
      <c r="M9" s="2499"/>
      <c r="N9" s="2500"/>
      <c r="S9" s="3"/>
    </row>
    <row r="10" spans="1:19" s="2" customFormat="1" ht="16.5" customHeight="1" x14ac:dyDescent="0.25">
      <c r="A10" s="2501" t="s">
        <v>14</v>
      </c>
      <c r="B10" s="2502"/>
      <c r="C10" s="2502"/>
      <c r="D10" s="2502"/>
      <c r="E10" s="2502"/>
      <c r="F10" s="2502"/>
      <c r="G10" s="2502"/>
      <c r="H10" s="2502"/>
      <c r="I10" s="2502"/>
      <c r="J10" s="2502"/>
      <c r="K10" s="2502"/>
      <c r="L10" s="2502"/>
      <c r="M10" s="2502"/>
      <c r="N10" s="2503"/>
      <c r="O10" s="3"/>
    </row>
    <row r="11" spans="1:19" s="3" customFormat="1" ht="16.5" customHeight="1" x14ac:dyDescent="0.25">
      <c r="A11" s="1503" t="s">
        <v>15</v>
      </c>
      <c r="B11" s="2504" t="s">
        <v>16</v>
      </c>
      <c r="C11" s="2504"/>
      <c r="D11" s="2504"/>
      <c r="E11" s="2504"/>
      <c r="F11" s="2504"/>
      <c r="G11" s="2504"/>
      <c r="H11" s="2504"/>
      <c r="I11" s="2504"/>
      <c r="J11" s="2504"/>
      <c r="K11" s="2504"/>
      <c r="L11" s="2504"/>
      <c r="M11" s="2504"/>
      <c r="N11" s="2505"/>
    </row>
    <row r="12" spans="1:19" s="3" customFormat="1" ht="27.75" customHeight="1" thickBot="1" x14ac:dyDescent="0.3">
      <c r="A12" s="2207" t="s">
        <v>15</v>
      </c>
      <c r="B12" s="1502" t="s">
        <v>15</v>
      </c>
      <c r="C12" s="2485" t="s">
        <v>17</v>
      </c>
      <c r="D12" s="2486"/>
      <c r="E12" s="2486"/>
      <c r="F12" s="2486"/>
      <c r="G12" s="2486"/>
      <c r="H12" s="2486"/>
      <c r="I12" s="2486"/>
      <c r="J12" s="2486"/>
      <c r="K12" s="2486"/>
      <c r="L12" s="2486"/>
      <c r="M12" s="2486"/>
      <c r="N12" s="2487"/>
    </row>
    <row r="13" spans="1:19" s="3" customFormat="1" ht="16.5" customHeight="1" x14ac:dyDescent="0.25">
      <c r="A13" s="2206" t="s">
        <v>15</v>
      </c>
      <c r="B13" s="6" t="s">
        <v>15</v>
      </c>
      <c r="C13" s="2229" t="s">
        <v>15</v>
      </c>
      <c r="D13" s="2390" t="s">
        <v>18</v>
      </c>
      <c r="E13" s="716"/>
      <c r="F13" s="2217" t="s">
        <v>19</v>
      </c>
      <c r="G13" s="1235" t="s">
        <v>22</v>
      </c>
      <c r="H13" s="1472">
        <f>2711-401.2-65-100</f>
        <v>2144.8000000000002</v>
      </c>
      <c r="I13" s="266">
        <v>3035.5</v>
      </c>
      <c r="J13" s="1243">
        <v>3032.8</v>
      </c>
      <c r="K13" s="2402" t="s">
        <v>23</v>
      </c>
      <c r="L13" s="1122">
        <v>946</v>
      </c>
      <c r="M13" s="1277">
        <v>1000</v>
      </c>
      <c r="N13" s="1106">
        <v>1000</v>
      </c>
      <c r="O13" s="1278"/>
      <c r="P13" s="1278"/>
      <c r="Q13" s="1278"/>
    </row>
    <row r="14" spans="1:19" s="3" customFormat="1" ht="16.5" customHeight="1" x14ac:dyDescent="0.25">
      <c r="A14" s="2197"/>
      <c r="B14" s="8"/>
      <c r="C14" s="2229"/>
      <c r="D14" s="2390"/>
      <c r="E14" s="716"/>
      <c r="F14" s="2217"/>
      <c r="G14" s="1009" t="s">
        <v>164</v>
      </c>
      <c r="H14" s="1284">
        <v>324.5</v>
      </c>
      <c r="I14" s="1125"/>
      <c r="J14" s="1481"/>
      <c r="K14" s="2283"/>
      <c r="L14" s="551"/>
      <c r="M14" s="858"/>
      <c r="N14" s="1087"/>
      <c r="O14" s="1278"/>
      <c r="P14" s="1278"/>
      <c r="Q14" s="1278"/>
    </row>
    <row r="15" spans="1:19" s="3" customFormat="1" ht="20.25" customHeight="1" x14ac:dyDescent="0.25">
      <c r="A15" s="2197"/>
      <c r="B15" s="8"/>
      <c r="C15" s="2229"/>
      <c r="D15" s="2390"/>
      <c r="E15" s="716"/>
      <c r="F15" s="2217"/>
      <c r="G15" s="1235"/>
      <c r="H15" s="59"/>
      <c r="I15" s="259"/>
      <c r="J15" s="1244"/>
      <c r="K15" s="2302" t="s">
        <v>24</v>
      </c>
      <c r="L15" s="18">
        <v>4135</v>
      </c>
      <c r="M15" s="1080">
        <v>4500</v>
      </c>
      <c r="N15" s="148">
        <v>4500</v>
      </c>
      <c r="O15" s="1278"/>
      <c r="P15" s="1278"/>
      <c r="Q15" s="1278"/>
    </row>
    <row r="16" spans="1:19" s="3" customFormat="1" ht="20.25" customHeight="1" x14ac:dyDescent="0.25">
      <c r="A16" s="2197"/>
      <c r="B16" s="8"/>
      <c r="C16" s="2229"/>
      <c r="D16" s="2390"/>
      <c r="E16" s="716"/>
      <c r="F16" s="2217"/>
      <c r="G16" s="1235"/>
      <c r="H16" s="59"/>
      <c r="I16" s="259"/>
      <c r="J16" s="1244"/>
      <c r="K16" s="2298"/>
      <c r="L16" s="551"/>
      <c r="M16" s="858"/>
      <c r="N16" s="1087"/>
    </row>
    <row r="17" spans="1:17" s="3" customFormat="1" ht="54" customHeight="1" x14ac:dyDescent="0.25">
      <c r="A17" s="2197"/>
      <c r="B17" s="8"/>
      <c r="C17" s="2229"/>
      <c r="D17" s="2390"/>
      <c r="E17" s="716"/>
      <c r="F17" s="2217"/>
      <c r="G17" s="1235"/>
      <c r="H17" s="1285"/>
      <c r="I17" s="1120"/>
      <c r="J17" s="1082"/>
      <c r="K17" s="1309" t="s">
        <v>25</v>
      </c>
      <c r="L17" s="1174">
        <v>90</v>
      </c>
      <c r="M17" s="317">
        <v>90</v>
      </c>
      <c r="N17" s="1078">
        <v>90</v>
      </c>
    </row>
    <row r="18" spans="1:17" s="3" customFormat="1" ht="54.75" customHeight="1" x14ac:dyDescent="0.25">
      <c r="A18" s="2197"/>
      <c r="B18" s="8"/>
      <c r="C18" s="2229"/>
      <c r="D18" s="2331" t="s">
        <v>21</v>
      </c>
      <c r="E18" s="716"/>
      <c r="F18" s="2217"/>
      <c r="G18" s="1009" t="s">
        <v>20</v>
      </c>
      <c r="H18" s="1284">
        <v>861.9</v>
      </c>
      <c r="I18" s="1125">
        <v>879.8</v>
      </c>
      <c r="J18" s="1414">
        <v>883.8</v>
      </c>
      <c r="K18" s="1309" t="s">
        <v>103</v>
      </c>
      <c r="L18" s="1174">
        <v>5</v>
      </c>
      <c r="M18" s="317">
        <v>5</v>
      </c>
      <c r="N18" s="1078">
        <v>5</v>
      </c>
    </row>
    <row r="19" spans="1:17" s="3" customFormat="1" ht="41.25" customHeight="1" x14ac:dyDescent="0.25">
      <c r="A19" s="2197"/>
      <c r="B19" s="8"/>
      <c r="C19" s="2229"/>
      <c r="D19" s="2331"/>
      <c r="E19" s="716"/>
      <c r="F19" s="2217"/>
      <c r="G19" s="709"/>
      <c r="H19" s="59"/>
      <c r="I19" s="259"/>
      <c r="J19" s="327"/>
      <c r="K19" s="1310" t="s">
        <v>102</v>
      </c>
      <c r="L19" s="1202">
        <v>185</v>
      </c>
      <c r="M19" s="1080">
        <v>185</v>
      </c>
      <c r="N19" s="148">
        <v>185</v>
      </c>
    </row>
    <row r="20" spans="1:17" s="3" customFormat="1" ht="36.75" customHeight="1" x14ac:dyDescent="0.25">
      <c r="A20" s="2197"/>
      <c r="B20" s="8"/>
      <c r="C20" s="2229"/>
      <c r="D20" s="2331"/>
      <c r="E20" s="716"/>
      <c r="F20" s="2217"/>
      <c r="G20" s="95"/>
      <c r="H20" s="1285"/>
      <c r="I20" s="1120"/>
      <c r="J20" s="1082"/>
      <c r="K20" s="2488" t="s">
        <v>104</v>
      </c>
      <c r="L20" s="1202">
        <v>45</v>
      </c>
      <c r="M20" s="1080">
        <v>50</v>
      </c>
      <c r="N20" s="148">
        <v>55</v>
      </c>
    </row>
    <row r="21" spans="1:17" s="3" customFormat="1" ht="17.25" customHeight="1" x14ac:dyDescent="0.25">
      <c r="A21" s="2197"/>
      <c r="B21" s="8"/>
      <c r="C21" s="703"/>
      <c r="D21" s="2519"/>
      <c r="E21" s="716"/>
      <c r="F21" s="2217"/>
      <c r="G21" s="1236" t="s">
        <v>26</v>
      </c>
      <c r="H21" s="134">
        <f>SUM(H13:H20)</f>
        <v>3331.2000000000003</v>
      </c>
      <c r="I21" s="233">
        <f t="shared" ref="I21:J21" si="0">SUM(I13:I20)</f>
        <v>3915.3</v>
      </c>
      <c r="J21" s="340">
        <f t="shared" si="0"/>
        <v>3916.6000000000004</v>
      </c>
      <c r="K21" s="2489"/>
      <c r="L21" s="111"/>
      <c r="M21" s="1081"/>
      <c r="N21" s="145"/>
    </row>
    <row r="22" spans="1:17" s="3" customFormat="1" ht="26.25" customHeight="1" x14ac:dyDescent="0.25">
      <c r="A22" s="2197"/>
      <c r="B22" s="8"/>
      <c r="C22" s="2229"/>
      <c r="D22" s="2469" t="s">
        <v>27</v>
      </c>
      <c r="E22" s="2284" t="s">
        <v>119</v>
      </c>
      <c r="F22" s="2217"/>
      <c r="G22" s="12" t="s">
        <v>20</v>
      </c>
      <c r="H22" s="1465">
        <f>1959+1385.7-14.2</f>
        <v>3330.5</v>
      </c>
      <c r="I22" s="228">
        <v>3448.9</v>
      </c>
      <c r="J22" s="353">
        <v>3513</v>
      </c>
      <c r="K22" s="2282" t="s">
        <v>28</v>
      </c>
      <c r="L22" s="548">
        <v>652</v>
      </c>
      <c r="M22" s="18">
        <v>667</v>
      </c>
      <c r="N22" s="396">
        <v>667</v>
      </c>
      <c r="P22" s="1279"/>
      <c r="Q22" s="1278"/>
    </row>
    <row r="23" spans="1:17" s="3" customFormat="1" ht="16.5" customHeight="1" x14ac:dyDescent="0.25">
      <c r="A23" s="2197"/>
      <c r="B23" s="8"/>
      <c r="C23" s="703"/>
      <c r="D23" s="2470"/>
      <c r="E23" s="2285"/>
      <c r="F23" s="2217"/>
      <c r="G23" s="1237" t="s">
        <v>26</v>
      </c>
      <c r="H23" s="134">
        <f>SUM(H22:H22)</f>
        <v>3330.5</v>
      </c>
      <c r="I23" s="233">
        <f>SUM(I22:I22)</f>
        <v>3448.9</v>
      </c>
      <c r="J23" s="340">
        <f>SUM(J22:J22)</f>
        <v>3513</v>
      </c>
      <c r="K23" s="2283"/>
      <c r="L23" s="2224"/>
      <c r="M23" s="1086"/>
      <c r="N23" s="1087"/>
    </row>
    <row r="24" spans="1:17" s="3" customFormat="1" ht="27.75" customHeight="1" x14ac:dyDescent="0.25">
      <c r="A24" s="2197"/>
      <c r="B24" s="8"/>
      <c r="C24" s="2229"/>
      <c r="D24" s="2469" t="s">
        <v>29</v>
      </c>
      <c r="E24" s="197"/>
      <c r="F24" s="2217"/>
      <c r="G24" s="95" t="s">
        <v>20</v>
      </c>
      <c r="H24" s="56">
        <v>768</v>
      </c>
      <c r="I24" s="280">
        <v>768</v>
      </c>
      <c r="J24" s="532">
        <v>768</v>
      </c>
      <c r="K24" s="2482" t="s">
        <v>30</v>
      </c>
      <c r="L24" s="2478">
        <v>51</v>
      </c>
      <c r="M24" s="112">
        <v>51</v>
      </c>
      <c r="N24" s="145">
        <v>51</v>
      </c>
    </row>
    <row r="25" spans="1:17" s="3" customFormat="1" ht="16.5" customHeight="1" x14ac:dyDescent="0.25">
      <c r="A25" s="2197"/>
      <c r="B25" s="8"/>
      <c r="C25" s="703"/>
      <c r="D25" s="2470"/>
      <c r="E25" s="198"/>
      <c r="F25" s="2217"/>
      <c r="G25" s="1237" t="s">
        <v>26</v>
      </c>
      <c r="H25" s="134">
        <f>+H24</f>
        <v>768</v>
      </c>
      <c r="I25" s="233">
        <f>+I24</f>
        <v>768</v>
      </c>
      <c r="J25" s="340">
        <f>+J24</f>
        <v>768</v>
      </c>
      <c r="K25" s="2283"/>
      <c r="L25" s="2479"/>
      <c r="M25" s="1086"/>
      <c r="N25" s="1087"/>
    </row>
    <row r="26" spans="1:17" s="3" customFormat="1" ht="38.25" customHeight="1" x14ac:dyDescent="0.25">
      <c r="A26" s="2197"/>
      <c r="B26" s="8"/>
      <c r="C26" s="2229"/>
      <c r="D26" s="2469" t="s">
        <v>31</v>
      </c>
      <c r="E26" s="2480" t="s">
        <v>114</v>
      </c>
      <c r="F26" s="2217"/>
      <c r="G26" s="95" t="s">
        <v>20</v>
      </c>
      <c r="H26" s="132">
        <v>368.8</v>
      </c>
      <c r="I26" s="279">
        <v>395.5</v>
      </c>
      <c r="J26" s="199">
        <v>395.5</v>
      </c>
      <c r="K26" s="2482" t="s">
        <v>32</v>
      </c>
      <c r="L26" s="1138" t="s">
        <v>340</v>
      </c>
      <c r="M26" s="1089" t="s">
        <v>287</v>
      </c>
      <c r="N26" s="1068">
        <v>1128</v>
      </c>
    </row>
    <row r="27" spans="1:17" s="3" customFormat="1" ht="16.5" customHeight="1" x14ac:dyDescent="0.25">
      <c r="A27" s="2197"/>
      <c r="B27" s="8"/>
      <c r="C27" s="2229"/>
      <c r="D27" s="2469"/>
      <c r="E27" s="2481"/>
      <c r="F27" s="2217"/>
      <c r="G27" s="1237" t="s">
        <v>26</v>
      </c>
      <c r="H27" s="16">
        <f>+H26</f>
        <v>368.8</v>
      </c>
      <c r="I27" s="232">
        <f>+I26</f>
        <v>395.5</v>
      </c>
      <c r="J27" s="383">
        <f>+J26</f>
        <v>395.5</v>
      </c>
      <c r="K27" s="2482"/>
      <c r="L27" s="1180" t="s">
        <v>189</v>
      </c>
      <c r="M27" s="22" t="s">
        <v>189</v>
      </c>
      <c r="N27" s="94">
        <v>700</v>
      </c>
    </row>
    <row r="28" spans="1:17" s="3" customFormat="1" ht="36.75" customHeight="1" x14ac:dyDescent="0.25">
      <c r="A28" s="2406"/>
      <c r="B28" s="2407"/>
      <c r="C28" s="2203"/>
      <c r="D28" s="2472" t="s">
        <v>33</v>
      </c>
      <c r="E28" s="2483" t="s">
        <v>114</v>
      </c>
      <c r="F28" s="2192"/>
      <c r="G28" s="95" t="s">
        <v>22</v>
      </c>
      <c r="H28" s="1014">
        <v>80.099999999999994</v>
      </c>
      <c r="I28" s="279">
        <v>69.3</v>
      </c>
      <c r="J28" s="1137">
        <v>69.3</v>
      </c>
      <c r="K28" s="2175" t="s">
        <v>105</v>
      </c>
      <c r="L28" s="103">
        <v>1128</v>
      </c>
      <c r="M28" s="364">
        <v>1128</v>
      </c>
      <c r="N28" s="1090">
        <v>1128</v>
      </c>
    </row>
    <row r="29" spans="1:17" s="3" customFormat="1" ht="21" customHeight="1" x14ac:dyDescent="0.25">
      <c r="A29" s="2406"/>
      <c r="B29" s="2407"/>
      <c r="C29" s="2203"/>
      <c r="D29" s="2470"/>
      <c r="E29" s="2484"/>
      <c r="F29" s="2192"/>
      <c r="G29" s="471" t="s">
        <v>26</v>
      </c>
      <c r="H29" s="134">
        <f>+H28</f>
        <v>80.099999999999994</v>
      </c>
      <c r="I29" s="233">
        <f>+I28</f>
        <v>69.3</v>
      </c>
      <c r="J29" s="1025">
        <f>+J28</f>
        <v>69.3</v>
      </c>
      <c r="K29" s="1311"/>
      <c r="L29" s="431"/>
      <c r="M29" s="100"/>
      <c r="N29" s="2232"/>
    </row>
    <row r="30" spans="1:17" s="2" customFormat="1" ht="17.25" customHeight="1" x14ac:dyDescent="0.25">
      <c r="A30" s="2406"/>
      <c r="B30" s="2407"/>
      <c r="C30" s="2203"/>
      <c r="D30" s="2469" t="s">
        <v>248</v>
      </c>
      <c r="E30" s="2471" t="s">
        <v>123</v>
      </c>
      <c r="F30" s="2388"/>
      <c r="G30" s="1238" t="s">
        <v>20</v>
      </c>
      <c r="H30" s="1294">
        <v>397.6</v>
      </c>
      <c r="I30" s="262">
        <v>91.6</v>
      </c>
      <c r="J30" s="1092"/>
      <c r="K30" s="2476" t="s">
        <v>148</v>
      </c>
      <c r="L30" s="111">
        <v>108</v>
      </c>
      <c r="M30" s="416">
        <v>108</v>
      </c>
      <c r="N30" s="287"/>
      <c r="Q30" s="3"/>
    </row>
    <row r="31" spans="1:17" s="2" customFormat="1" ht="17.25" customHeight="1" x14ac:dyDescent="0.25">
      <c r="A31" s="2406"/>
      <c r="B31" s="2407"/>
      <c r="C31" s="2203"/>
      <c r="D31" s="2469"/>
      <c r="E31" s="2471"/>
      <c r="F31" s="2388"/>
      <c r="G31" s="1239" t="s">
        <v>168</v>
      </c>
      <c r="H31" s="1011">
        <v>93.1</v>
      </c>
      <c r="I31" s="321">
        <v>28.5</v>
      </c>
      <c r="J31" s="1093"/>
      <c r="K31" s="2476"/>
      <c r="L31" s="111"/>
      <c r="M31" s="416"/>
      <c r="N31" s="287"/>
    </row>
    <row r="32" spans="1:17" s="2" customFormat="1" ht="17.25" customHeight="1" x14ac:dyDescent="0.25">
      <c r="A32" s="2197"/>
      <c r="B32" s="2198"/>
      <c r="C32" s="2203"/>
      <c r="D32" s="2469"/>
      <c r="E32" s="2471"/>
      <c r="F32" s="2388"/>
      <c r="G32" s="1239" t="s">
        <v>180</v>
      </c>
      <c r="H32" s="1485">
        <v>207</v>
      </c>
      <c r="I32" s="280"/>
      <c r="J32" s="1136"/>
      <c r="K32" s="2476"/>
      <c r="L32" s="111"/>
      <c r="M32" s="416"/>
      <c r="N32" s="287"/>
      <c r="O32" s="3"/>
    </row>
    <row r="33" spans="1:18" s="2" customFormat="1" ht="17.25" customHeight="1" x14ac:dyDescent="0.25">
      <c r="A33" s="2197"/>
      <c r="B33" s="2198"/>
      <c r="C33" s="2191"/>
      <c r="D33" s="2470"/>
      <c r="E33" s="2475"/>
      <c r="F33" s="2388"/>
      <c r="G33" s="1237" t="s">
        <v>26</v>
      </c>
      <c r="H33" s="16">
        <f>SUM(H30:H32)</f>
        <v>697.7</v>
      </c>
      <c r="I33" s="232">
        <f>SUM(I30:I32)</f>
        <v>120.1</v>
      </c>
      <c r="J33" s="1025"/>
      <c r="K33" s="2225"/>
      <c r="L33" s="37"/>
      <c r="M33" s="2238"/>
      <c r="N33" s="700"/>
      <c r="O33" s="3"/>
    </row>
    <row r="34" spans="1:18" s="2" customFormat="1" ht="15.75" customHeight="1" x14ac:dyDescent="0.25">
      <c r="A34" s="2197"/>
      <c r="B34" s="2198"/>
      <c r="C34" s="2203"/>
      <c r="D34" s="2469" t="s">
        <v>288</v>
      </c>
      <c r="E34" s="2471"/>
      <c r="F34" s="2388"/>
      <c r="G34" s="1238" t="s">
        <v>22</v>
      </c>
      <c r="H34" s="2257">
        <v>99.1</v>
      </c>
      <c r="I34" s="2260">
        <v>181.5</v>
      </c>
      <c r="J34" s="199">
        <v>181.5</v>
      </c>
      <c r="K34" s="2473" t="s">
        <v>315</v>
      </c>
      <c r="L34" s="467">
        <v>9</v>
      </c>
      <c r="M34" s="185">
        <v>20</v>
      </c>
      <c r="N34" s="1077">
        <v>20</v>
      </c>
      <c r="O34" s="1290"/>
      <c r="P34" s="1290"/>
      <c r="Q34" s="1290"/>
    </row>
    <row r="35" spans="1:18" s="2" customFormat="1" ht="15.75" customHeight="1" x14ac:dyDescent="0.25">
      <c r="A35" s="2197"/>
      <c r="B35" s="2198"/>
      <c r="C35" s="2191"/>
      <c r="D35" s="2470"/>
      <c r="E35" s="2471"/>
      <c r="F35" s="2388"/>
      <c r="G35" s="1237" t="s">
        <v>26</v>
      </c>
      <c r="H35" s="420">
        <f>SUM(H34:H34)</f>
        <v>99.1</v>
      </c>
      <c r="I35" s="421">
        <f>SUM(I34:I34)</f>
        <v>181.5</v>
      </c>
      <c r="J35" s="534">
        <f>SUM(J34:J34)</f>
        <v>181.5</v>
      </c>
      <c r="K35" s="2477"/>
      <c r="L35" s="423"/>
      <c r="M35" s="1099"/>
      <c r="N35" s="1101"/>
      <c r="R35" s="3"/>
    </row>
    <row r="36" spans="1:18" s="2" customFormat="1" ht="27.75" customHeight="1" x14ac:dyDescent="0.25">
      <c r="A36" s="2197"/>
      <c r="B36" s="2198"/>
      <c r="C36" s="2203"/>
      <c r="D36" s="2472" t="s">
        <v>177</v>
      </c>
      <c r="E36" s="2471"/>
      <c r="F36" s="2388"/>
      <c r="G36" s="1008" t="s">
        <v>37</v>
      </c>
      <c r="H36" s="2258">
        <v>109.1</v>
      </c>
      <c r="I36" s="2260"/>
      <c r="J36" s="343"/>
      <c r="K36" s="2473" t="s">
        <v>178</v>
      </c>
      <c r="L36" s="1098">
        <v>30</v>
      </c>
      <c r="M36" s="467"/>
      <c r="N36" s="419"/>
    </row>
    <row r="37" spans="1:18" s="2" customFormat="1" ht="17.25" customHeight="1" x14ac:dyDescent="0.25">
      <c r="A37" s="2197"/>
      <c r="B37" s="2198"/>
      <c r="C37" s="2203"/>
      <c r="D37" s="2469"/>
      <c r="E37" s="2471"/>
      <c r="F37" s="2388"/>
      <c r="G37" s="1236" t="s">
        <v>26</v>
      </c>
      <c r="H37" s="334">
        <f>SUM(H36:H36)</f>
        <v>109.1</v>
      </c>
      <c r="I37" s="335">
        <f>SUM(I36:I36)</f>
        <v>0</v>
      </c>
      <c r="J37" s="350">
        <f>SUM(J36:J36)</f>
        <v>0</v>
      </c>
      <c r="K37" s="2474"/>
      <c r="L37" s="425"/>
      <c r="M37" s="1100"/>
      <c r="N37" s="426"/>
    </row>
    <row r="38" spans="1:18" s="2" customFormat="1" ht="64.5" customHeight="1" x14ac:dyDescent="0.25">
      <c r="A38" s="1425"/>
      <c r="B38" s="1426"/>
      <c r="C38" s="1427"/>
      <c r="D38" s="1031" t="s">
        <v>191</v>
      </c>
      <c r="E38" s="1428"/>
      <c r="F38" s="1429"/>
      <c r="G38" s="1430"/>
      <c r="H38" s="1431"/>
      <c r="I38" s="1432"/>
      <c r="J38" s="1487"/>
      <c r="K38" s="1341" t="s">
        <v>192</v>
      </c>
      <c r="L38" s="1433">
        <v>2500</v>
      </c>
      <c r="M38" s="1434">
        <v>2500</v>
      </c>
      <c r="N38" s="1148">
        <v>2500</v>
      </c>
    </row>
    <row r="39" spans="1:18" s="2" customFormat="1" ht="53.25" customHeight="1" x14ac:dyDescent="0.25">
      <c r="A39" s="2197"/>
      <c r="B39" s="2198"/>
      <c r="C39" s="2203"/>
      <c r="D39" s="2288" t="s">
        <v>228</v>
      </c>
      <c r="E39" s="208"/>
      <c r="F39" s="536"/>
      <c r="G39" s="1423"/>
      <c r="H39" s="570"/>
      <c r="I39" s="571"/>
      <c r="J39" s="812"/>
      <c r="K39" s="1424" t="s">
        <v>192</v>
      </c>
      <c r="L39" s="425">
        <v>2500</v>
      </c>
      <c r="M39" s="1100">
        <v>2500</v>
      </c>
      <c r="N39" s="426">
        <v>2500</v>
      </c>
    </row>
    <row r="40" spans="1:18" s="2" customFormat="1" ht="17.25" customHeight="1" thickBot="1" x14ac:dyDescent="0.3">
      <c r="A40" s="2207"/>
      <c r="B40" s="2209"/>
      <c r="C40" s="2227"/>
      <c r="D40" s="2433"/>
      <c r="E40" s="2352" t="s">
        <v>34</v>
      </c>
      <c r="F40" s="2353"/>
      <c r="G40" s="2353"/>
      <c r="H40" s="30">
        <f>H33+H29+H27+H25+H23+H21+H35+H37</f>
        <v>8784.5000000000018</v>
      </c>
      <c r="I40" s="237">
        <f>I33+I29+I27+I25+I23+I21+I35+I37</f>
        <v>8898.6</v>
      </c>
      <c r="J40" s="347">
        <f>J33+J29+J27+J25+J23+J21+J35+J37</f>
        <v>8843.9000000000015</v>
      </c>
      <c r="K40" s="1312"/>
      <c r="L40" s="35"/>
      <c r="M40" s="372"/>
      <c r="N40" s="201"/>
      <c r="O40" s="3"/>
    </row>
    <row r="41" spans="1:18" s="3" customFormat="1" ht="64.5" customHeight="1" x14ac:dyDescent="0.25">
      <c r="A41" s="2406" t="s">
        <v>15</v>
      </c>
      <c r="B41" s="2407" t="s">
        <v>15</v>
      </c>
      <c r="C41" s="2463" t="s">
        <v>35</v>
      </c>
      <c r="D41" s="2288" t="s">
        <v>36</v>
      </c>
      <c r="E41" s="2465"/>
      <c r="F41" s="2467" t="s">
        <v>19</v>
      </c>
      <c r="G41" s="709" t="s">
        <v>37</v>
      </c>
      <c r="H41" s="1415">
        <v>8767.5</v>
      </c>
      <c r="I41" s="1416">
        <v>8767.5</v>
      </c>
      <c r="J41" s="1417">
        <v>8767.5</v>
      </c>
      <c r="K41" s="1313" t="s">
        <v>316</v>
      </c>
      <c r="L41" s="111">
        <v>4300</v>
      </c>
      <c r="M41" s="112">
        <v>4300</v>
      </c>
      <c r="N41" s="145">
        <v>4300</v>
      </c>
    </row>
    <row r="42" spans="1:18" s="3" customFormat="1" ht="16.5" customHeight="1" thickBot="1" x14ac:dyDescent="0.3">
      <c r="A42" s="2450"/>
      <c r="B42" s="2452"/>
      <c r="C42" s="2464"/>
      <c r="D42" s="2433"/>
      <c r="E42" s="2466"/>
      <c r="F42" s="2468"/>
      <c r="G42" s="367" t="s">
        <v>26</v>
      </c>
      <c r="H42" s="30">
        <f>+H41</f>
        <v>8767.5</v>
      </c>
      <c r="I42" s="237">
        <f>+I41</f>
        <v>8767.5</v>
      </c>
      <c r="J42" s="381">
        <f>+J41</f>
        <v>8767.5</v>
      </c>
      <c r="K42" s="1314"/>
      <c r="L42" s="177"/>
      <c r="M42" s="373"/>
      <c r="N42" s="692"/>
    </row>
    <row r="43" spans="1:18" s="3" customFormat="1" ht="21.75" customHeight="1" x14ac:dyDescent="0.25">
      <c r="A43" s="2206" t="s">
        <v>15</v>
      </c>
      <c r="B43" s="6" t="s">
        <v>15</v>
      </c>
      <c r="C43" s="171" t="s">
        <v>39</v>
      </c>
      <c r="D43" s="2432" t="s">
        <v>40</v>
      </c>
      <c r="E43" s="196"/>
      <c r="F43" s="105" t="s">
        <v>19</v>
      </c>
      <c r="G43" s="196" t="s">
        <v>37</v>
      </c>
      <c r="H43" s="1421">
        <v>17720.599999999999</v>
      </c>
      <c r="I43" s="1420">
        <v>17720.599999999999</v>
      </c>
      <c r="J43" s="1422">
        <v>17720.599999999999</v>
      </c>
      <c r="K43" s="2461" t="s">
        <v>316</v>
      </c>
      <c r="L43" s="1306">
        <v>32000</v>
      </c>
      <c r="M43" s="1105">
        <v>32000</v>
      </c>
      <c r="N43" s="1106">
        <v>32000</v>
      </c>
    </row>
    <row r="44" spans="1:18" s="3" customFormat="1" ht="16.5" customHeight="1" thickBot="1" x14ac:dyDescent="0.3">
      <c r="A44" s="2207"/>
      <c r="B44" s="34"/>
      <c r="C44" s="2215"/>
      <c r="D44" s="2433"/>
      <c r="E44" s="35"/>
      <c r="F44" s="2218"/>
      <c r="G44" s="367" t="s">
        <v>26</v>
      </c>
      <c r="H44" s="30">
        <f>+H43</f>
        <v>17720.599999999999</v>
      </c>
      <c r="I44" s="237">
        <f>+I43</f>
        <v>17720.599999999999</v>
      </c>
      <c r="J44" s="381">
        <f>+J43</f>
        <v>17720.599999999999</v>
      </c>
      <c r="K44" s="2462"/>
      <c r="L44" s="1102"/>
      <c r="M44" s="1103"/>
      <c r="N44" s="1104"/>
    </row>
    <row r="45" spans="1:18" s="2" customFormat="1" ht="54" customHeight="1" x14ac:dyDescent="0.25">
      <c r="A45" s="2449" t="s">
        <v>15</v>
      </c>
      <c r="B45" s="2451" t="s">
        <v>15</v>
      </c>
      <c r="C45" s="2453" t="s">
        <v>41</v>
      </c>
      <c r="D45" s="2432" t="s">
        <v>170</v>
      </c>
      <c r="E45" s="196"/>
      <c r="F45" s="2201" t="s">
        <v>19</v>
      </c>
      <c r="G45" s="1241" t="s">
        <v>22</v>
      </c>
      <c r="H45" s="2272">
        <v>600</v>
      </c>
      <c r="I45" s="1271">
        <f>790-40-250</f>
        <v>500</v>
      </c>
      <c r="J45" s="1272">
        <f>790-40-250</f>
        <v>500</v>
      </c>
      <c r="K45" s="2402" t="s">
        <v>171</v>
      </c>
      <c r="L45" s="1109">
        <v>540</v>
      </c>
      <c r="M45" s="1105">
        <v>450</v>
      </c>
      <c r="N45" s="1106">
        <v>450</v>
      </c>
      <c r="O45" s="1532"/>
    </row>
    <row r="46" spans="1:18" s="3" customFormat="1" ht="16.5" customHeight="1" thickBot="1" x14ac:dyDescent="0.3">
      <c r="A46" s="2450"/>
      <c r="B46" s="2452"/>
      <c r="C46" s="2455"/>
      <c r="D46" s="2433"/>
      <c r="E46" s="35"/>
      <c r="F46" s="2218"/>
      <c r="G46" s="367" t="s">
        <v>26</v>
      </c>
      <c r="H46" s="30">
        <f>+H45</f>
        <v>600</v>
      </c>
      <c r="I46" s="237">
        <f>+I45</f>
        <v>500</v>
      </c>
      <c r="J46" s="381">
        <f>+J45</f>
        <v>500</v>
      </c>
      <c r="K46" s="2403"/>
      <c r="L46" s="1307"/>
      <c r="M46" s="1110"/>
      <c r="N46" s="1111"/>
    </row>
    <row r="47" spans="1:18" s="2" customFormat="1" ht="29.25" customHeight="1" x14ac:dyDescent="0.25">
      <c r="A47" s="2449" t="s">
        <v>15</v>
      </c>
      <c r="B47" s="2451" t="s">
        <v>15</v>
      </c>
      <c r="C47" s="2453" t="s">
        <v>42</v>
      </c>
      <c r="D47" s="2432" t="s">
        <v>219</v>
      </c>
      <c r="E47" s="196"/>
      <c r="F47" s="2201" t="s">
        <v>19</v>
      </c>
      <c r="G47" s="1241" t="s">
        <v>20</v>
      </c>
      <c r="H47" s="163">
        <v>210.6</v>
      </c>
      <c r="I47" s="269">
        <v>219</v>
      </c>
      <c r="J47" s="1259">
        <v>219</v>
      </c>
      <c r="K47" s="1315" t="s">
        <v>217</v>
      </c>
      <c r="L47" s="1112">
        <v>200</v>
      </c>
      <c r="M47" s="1113">
        <v>200</v>
      </c>
      <c r="N47" s="1114">
        <v>200</v>
      </c>
      <c r="O47" s="3"/>
    </row>
    <row r="48" spans="1:18" s="2" customFormat="1" ht="24" customHeight="1" x14ac:dyDescent="0.25">
      <c r="A48" s="2406"/>
      <c r="B48" s="2407"/>
      <c r="C48" s="2454"/>
      <c r="D48" s="2288"/>
      <c r="E48" s="37"/>
      <c r="F48" s="69"/>
      <c r="G48" s="1242"/>
      <c r="H48" s="59"/>
      <c r="I48" s="259"/>
      <c r="J48" s="327"/>
      <c r="K48" s="2456" t="s">
        <v>218</v>
      </c>
      <c r="L48" s="1115">
        <v>50</v>
      </c>
      <c r="M48" s="1116">
        <v>50</v>
      </c>
      <c r="N48" s="1117">
        <v>50</v>
      </c>
    </row>
    <row r="49" spans="1:16" s="3" customFormat="1" ht="16.5" customHeight="1" thickBot="1" x14ac:dyDescent="0.3">
      <c r="A49" s="2450"/>
      <c r="B49" s="2452"/>
      <c r="C49" s="2455"/>
      <c r="D49" s="2433"/>
      <c r="E49" s="35"/>
      <c r="F49" s="2218"/>
      <c r="G49" s="367" t="s">
        <v>26</v>
      </c>
      <c r="H49" s="30">
        <f>+H47</f>
        <v>210.6</v>
      </c>
      <c r="I49" s="237">
        <f>+I47</f>
        <v>219</v>
      </c>
      <c r="J49" s="381">
        <f>+J47</f>
        <v>219</v>
      </c>
      <c r="K49" s="2457"/>
      <c r="L49" s="1108"/>
      <c r="M49" s="1118"/>
      <c r="N49" s="1119"/>
    </row>
    <row r="50" spans="1:16" s="2" customFormat="1" ht="16.5" customHeight="1" thickBot="1" x14ac:dyDescent="0.3">
      <c r="A50" s="577" t="s">
        <v>15</v>
      </c>
      <c r="B50" s="5" t="s">
        <v>15</v>
      </c>
      <c r="C50" s="2458" t="s">
        <v>43</v>
      </c>
      <c r="D50" s="2459"/>
      <c r="E50" s="2459"/>
      <c r="F50" s="2459"/>
      <c r="G50" s="2460"/>
      <c r="H50" s="1318">
        <f>H46+H44+H42+H40+H49</f>
        <v>36083.199999999997</v>
      </c>
      <c r="I50" s="1091">
        <f t="shared" ref="I50:J50" si="1">I46+I44+I42+I40+I49</f>
        <v>36105.699999999997</v>
      </c>
      <c r="J50" s="1245">
        <f t="shared" si="1"/>
        <v>36051</v>
      </c>
      <c r="K50" s="2333"/>
      <c r="L50" s="2334"/>
      <c r="M50" s="2334"/>
      <c r="N50" s="2335"/>
    </row>
    <row r="51" spans="1:16" s="2" customFormat="1" ht="16.5" customHeight="1" thickBot="1" x14ac:dyDescent="0.3">
      <c r="A51" s="578" t="s">
        <v>15</v>
      </c>
      <c r="B51" s="5" t="s">
        <v>35</v>
      </c>
      <c r="C51" s="2366" t="s">
        <v>44</v>
      </c>
      <c r="D51" s="2366"/>
      <c r="E51" s="2366"/>
      <c r="F51" s="2366"/>
      <c r="G51" s="2442"/>
      <c r="H51" s="2442"/>
      <c r="I51" s="2442"/>
      <c r="J51" s="2442"/>
      <c r="K51" s="2366"/>
      <c r="L51" s="2366"/>
      <c r="M51" s="2366"/>
      <c r="N51" s="2367"/>
    </row>
    <row r="52" spans="1:16" s="3" customFormat="1" ht="15" customHeight="1" x14ac:dyDescent="0.25">
      <c r="A52" s="2206" t="s">
        <v>15</v>
      </c>
      <c r="B52" s="2208" t="s">
        <v>35</v>
      </c>
      <c r="C52" s="2228" t="s">
        <v>15</v>
      </c>
      <c r="D52" s="2289" t="s">
        <v>45</v>
      </c>
      <c r="E52" s="2443" t="s">
        <v>120</v>
      </c>
      <c r="F52" s="403">
        <v>3</v>
      </c>
      <c r="G52" s="1365" t="s">
        <v>22</v>
      </c>
      <c r="H52" s="298">
        <v>5395.8</v>
      </c>
      <c r="I52" s="227">
        <v>4822.2</v>
      </c>
      <c r="J52" s="325">
        <v>4746.3</v>
      </c>
      <c r="K52" s="1332"/>
      <c r="L52" s="374"/>
      <c r="M52" s="1139"/>
      <c r="N52" s="386"/>
    </row>
    <row r="53" spans="1:16" s="3" customFormat="1" ht="15" customHeight="1" x14ac:dyDescent="0.25">
      <c r="A53" s="2197"/>
      <c r="B53" s="2198"/>
      <c r="C53" s="178"/>
      <c r="D53" s="2290"/>
      <c r="E53" s="2444"/>
      <c r="F53" s="289"/>
      <c r="G53" s="204" t="s">
        <v>46</v>
      </c>
      <c r="H53" s="256">
        <f>646.9+22.4+0.9</f>
        <v>670.19999999999993</v>
      </c>
      <c r="I53" s="256">
        <v>659.9</v>
      </c>
      <c r="J53" s="330">
        <v>669.3</v>
      </c>
      <c r="K53" s="1333"/>
      <c r="L53" s="366"/>
      <c r="M53" s="1140"/>
      <c r="N53" s="469"/>
    </row>
    <row r="54" spans="1:16" s="3" customFormat="1" ht="15" customHeight="1" x14ac:dyDescent="0.25">
      <c r="A54" s="2197"/>
      <c r="B54" s="2198"/>
      <c r="C54" s="178"/>
      <c r="D54" s="2180"/>
      <c r="E54" s="2444"/>
      <c r="F54" s="289"/>
      <c r="G54" s="204" t="s">
        <v>94</v>
      </c>
      <c r="H54" s="242">
        <f>60.9</f>
        <v>60.9</v>
      </c>
      <c r="I54" s="257"/>
      <c r="J54" s="326"/>
      <c r="K54" s="1333"/>
      <c r="L54" s="366"/>
      <c r="M54" s="1140"/>
      <c r="N54" s="469"/>
    </row>
    <row r="55" spans="1:16" s="3" customFormat="1" ht="15" customHeight="1" x14ac:dyDescent="0.25">
      <c r="A55" s="2197"/>
      <c r="B55" s="2198"/>
      <c r="C55" s="178"/>
      <c r="D55" s="2180"/>
      <c r="E55" s="2444"/>
      <c r="F55" s="289"/>
      <c r="G55" s="176" t="s">
        <v>20</v>
      </c>
      <c r="H55" s="180">
        <v>122.1</v>
      </c>
      <c r="I55" s="256">
        <v>62</v>
      </c>
      <c r="J55" s="330">
        <v>62</v>
      </c>
      <c r="K55" s="1333"/>
      <c r="L55" s="366"/>
      <c r="M55" s="1140"/>
      <c r="N55" s="469"/>
    </row>
    <row r="56" spans="1:16" s="3" customFormat="1" ht="15" customHeight="1" x14ac:dyDescent="0.25">
      <c r="A56" s="2197"/>
      <c r="B56" s="2198"/>
      <c r="C56" s="178"/>
      <c r="D56" s="2180"/>
      <c r="E56" s="2444"/>
      <c r="F56" s="289"/>
      <c r="G56" s="1304" t="s">
        <v>169</v>
      </c>
      <c r="H56" s="323">
        <v>40.6</v>
      </c>
      <c r="I56" s="256">
        <f>SUMIF(G61:G105,"sb(esa)",I61:I105)</f>
        <v>0</v>
      </c>
      <c r="J56" s="330">
        <f>SUMIF(G61:G105,"sb(esa)",J61:J105)</f>
        <v>0</v>
      </c>
      <c r="K56" s="1333"/>
      <c r="L56" s="366"/>
      <c r="M56" s="1140"/>
      <c r="N56" s="469"/>
    </row>
    <row r="57" spans="1:16" s="3" customFormat="1" ht="15" customHeight="1" x14ac:dyDescent="0.25">
      <c r="A57" s="2197"/>
      <c r="B57" s="2198"/>
      <c r="C57" s="178"/>
      <c r="D57" s="2180"/>
      <c r="E57" s="2444"/>
      <c r="F57" s="289"/>
      <c r="G57" s="176" t="s">
        <v>168</v>
      </c>
      <c r="H57" s="242">
        <f>108.5-31</f>
        <v>77.5</v>
      </c>
      <c r="I57" s="257">
        <v>91.5</v>
      </c>
      <c r="J57" s="326">
        <v>91.5</v>
      </c>
      <c r="K57" s="1333"/>
      <c r="L57" s="366"/>
      <c r="M57" s="1140"/>
      <c r="N57" s="469"/>
    </row>
    <row r="58" spans="1:16" s="3" customFormat="1" ht="15" customHeight="1" x14ac:dyDescent="0.25">
      <c r="A58" s="2197"/>
      <c r="B58" s="2198"/>
      <c r="C58" s="178"/>
      <c r="D58" s="2180"/>
      <c r="E58" s="2444"/>
      <c r="F58" s="289"/>
      <c r="G58" s="176" t="s">
        <v>63</v>
      </c>
      <c r="H58" s="323">
        <f>72.2+31</f>
        <v>103.2</v>
      </c>
      <c r="I58" s="256">
        <f>SUMIF(G61:G105,"es",I61:I105)</f>
        <v>0</v>
      </c>
      <c r="J58" s="330">
        <f>SUMIF(G61:G105,"es",J61:J105)</f>
        <v>0</v>
      </c>
      <c r="K58" s="1333"/>
      <c r="L58" s="366"/>
      <c r="M58" s="1140"/>
      <c r="N58" s="469"/>
    </row>
    <row r="59" spans="1:16" s="3" customFormat="1" ht="15" customHeight="1" x14ac:dyDescent="0.25">
      <c r="A59" s="2197"/>
      <c r="B59" s="2198"/>
      <c r="C59" s="178"/>
      <c r="D59" s="2180"/>
      <c r="E59" s="2444"/>
      <c r="F59" s="289"/>
      <c r="G59" s="176" t="s">
        <v>47</v>
      </c>
      <c r="H59" s="242">
        <v>5</v>
      </c>
      <c r="I59" s="257">
        <v>6</v>
      </c>
      <c r="J59" s="326">
        <v>7</v>
      </c>
      <c r="K59" s="1333"/>
      <c r="L59" s="366"/>
      <c r="M59" s="1140"/>
      <c r="N59" s="469"/>
    </row>
    <row r="60" spans="1:16" s="3" customFormat="1" ht="15" customHeight="1" thickBot="1" x14ac:dyDescent="0.3">
      <c r="A60" s="2197"/>
      <c r="B60" s="2198"/>
      <c r="C60" s="178"/>
      <c r="D60" s="2180"/>
      <c r="E60" s="2444"/>
      <c r="F60" s="289"/>
      <c r="G60" s="175" t="s">
        <v>37</v>
      </c>
      <c r="H60" s="243">
        <v>152</v>
      </c>
      <c r="I60" s="258">
        <v>108.6</v>
      </c>
      <c r="J60" s="738">
        <v>110.6</v>
      </c>
      <c r="K60" s="1333"/>
      <c r="L60" s="366"/>
      <c r="M60" s="1140"/>
      <c r="N60" s="469"/>
    </row>
    <row r="61" spans="1:16" s="3" customFormat="1" ht="18" customHeight="1" x14ac:dyDescent="0.25">
      <c r="A61" s="2197"/>
      <c r="B61" s="2198"/>
      <c r="C61" s="2203"/>
      <c r="D61" s="2445" t="s">
        <v>320</v>
      </c>
      <c r="E61" s="2444"/>
      <c r="F61" s="289"/>
      <c r="G61" s="537"/>
      <c r="H61" s="245"/>
      <c r="I61" s="260"/>
      <c r="J61" s="331"/>
      <c r="K61" s="1369" t="s">
        <v>93</v>
      </c>
      <c r="L61" s="1370">
        <v>82</v>
      </c>
      <c r="M61" s="1371">
        <v>82</v>
      </c>
      <c r="N61" s="1372">
        <v>82</v>
      </c>
      <c r="O61" s="245"/>
      <c r="P61" s="245"/>
    </row>
    <row r="62" spans="1:16" s="3" customFormat="1" ht="16.5" customHeight="1" x14ac:dyDescent="0.25">
      <c r="A62" s="2197"/>
      <c r="B62" s="2198"/>
      <c r="C62" s="2203"/>
      <c r="D62" s="2331"/>
      <c r="E62" s="2444"/>
      <c r="F62" s="289"/>
      <c r="G62" s="537"/>
      <c r="H62" s="245"/>
      <c r="I62" s="260"/>
      <c r="J62" s="1287"/>
      <c r="K62" s="2199" t="s">
        <v>289</v>
      </c>
      <c r="L62" s="2224">
        <v>1</v>
      </c>
      <c r="M62" s="2238"/>
      <c r="N62" s="700"/>
    </row>
    <row r="63" spans="1:16" s="3" customFormat="1" ht="30" customHeight="1" x14ac:dyDescent="0.25">
      <c r="A63" s="2197"/>
      <c r="B63" s="2198"/>
      <c r="C63" s="2203"/>
      <c r="D63" s="2286" t="s">
        <v>175</v>
      </c>
      <c r="E63" s="2444"/>
      <c r="F63" s="289"/>
      <c r="G63" s="537"/>
      <c r="H63" s="245"/>
      <c r="I63" s="260"/>
      <c r="J63" s="1287"/>
      <c r="K63" s="2447" t="s">
        <v>181</v>
      </c>
      <c r="L63" s="548">
        <v>60</v>
      </c>
      <c r="M63" s="1142"/>
      <c r="N63" s="396"/>
    </row>
    <row r="64" spans="1:16" s="3" customFormat="1" ht="36.75" customHeight="1" thickBot="1" x14ac:dyDescent="0.3">
      <c r="A64" s="2197"/>
      <c r="B64" s="2198"/>
      <c r="C64" s="2203"/>
      <c r="D64" s="2446"/>
      <c r="E64" s="2444"/>
      <c r="F64" s="289"/>
      <c r="G64" s="537"/>
      <c r="H64" s="245"/>
      <c r="I64" s="260"/>
      <c r="J64" s="1287"/>
      <c r="K64" s="2448"/>
      <c r="L64" s="1274"/>
      <c r="M64" s="1373"/>
      <c r="N64" s="1374"/>
    </row>
    <row r="65" spans="1:15" s="3" customFormat="1" ht="29.25" customHeight="1" x14ac:dyDescent="0.25">
      <c r="A65" s="2197"/>
      <c r="B65" s="2198"/>
      <c r="C65" s="2203"/>
      <c r="D65" s="2247" t="s">
        <v>319</v>
      </c>
      <c r="E65" s="2444"/>
      <c r="F65" s="289"/>
      <c r="G65" s="537"/>
      <c r="H65" s="245"/>
      <c r="I65" s="260"/>
      <c r="J65" s="331"/>
      <c r="K65" s="1334" t="s">
        <v>317</v>
      </c>
      <c r="L65" s="1325">
        <v>160</v>
      </c>
      <c r="M65" s="1367">
        <v>160</v>
      </c>
      <c r="N65" s="1368">
        <v>160</v>
      </c>
    </row>
    <row r="66" spans="1:15" s="3" customFormat="1" ht="55.5" customHeight="1" x14ac:dyDescent="0.25">
      <c r="A66" s="2197"/>
      <c r="B66" s="2198"/>
      <c r="C66" s="2203"/>
      <c r="D66" s="2184"/>
      <c r="E66" s="1360"/>
      <c r="F66" s="289"/>
      <c r="G66" s="537"/>
      <c r="H66" s="245"/>
      <c r="I66" s="260"/>
      <c r="J66" s="331"/>
      <c r="K66" s="1335" t="s">
        <v>325</v>
      </c>
      <c r="L66" s="1326" t="s">
        <v>290</v>
      </c>
      <c r="M66" s="1123" t="s">
        <v>290</v>
      </c>
      <c r="N66" s="762" t="s">
        <v>290</v>
      </c>
    </row>
    <row r="67" spans="1:15" s="3" customFormat="1" ht="30" customHeight="1" x14ac:dyDescent="0.25">
      <c r="A67" s="2197"/>
      <c r="B67" s="2198"/>
      <c r="C67" s="2203"/>
      <c r="D67" s="2184"/>
      <c r="E67" s="1360"/>
      <c r="F67" s="289"/>
      <c r="G67" s="537"/>
      <c r="H67" s="245"/>
      <c r="I67" s="260"/>
      <c r="J67" s="331"/>
      <c r="K67" s="1336" t="s">
        <v>194</v>
      </c>
      <c r="L67" s="1327">
        <v>280</v>
      </c>
      <c r="M67" s="1063">
        <v>300</v>
      </c>
      <c r="N67" s="1148">
        <v>320</v>
      </c>
    </row>
    <row r="68" spans="1:15" s="3" customFormat="1" ht="37.5" customHeight="1" x14ac:dyDescent="0.25">
      <c r="A68" s="2197"/>
      <c r="B68" s="2198"/>
      <c r="C68" s="2203"/>
      <c r="D68" s="2184"/>
      <c r="E68" s="1360"/>
      <c r="F68" s="289"/>
      <c r="G68" s="537"/>
      <c r="H68" s="245"/>
      <c r="I68" s="260"/>
      <c r="J68" s="331"/>
      <c r="K68" s="2205" t="s">
        <v>326</v>
      </c>
      <c r="L68" s="1353" t="s">
        <v>193</v>
      </c>
      <c r="M68" s="1354" t="s">
        <v>193</v>
      </c>
      <c r="N68" s="1355" t="s">
        <v>193</v>
      </c>
    </row>
    <row r="69" spans="1:15" s="3" customFormat="1" ht="55.5" customHeight="1" x14ac:dyDescent="0.25">
      <c r="A69" s="2197"/>
      <c r="B69" s="2198"/>
      <c r="C69" s="2203"/>
      <c r="D69" s="2177" t="s">
        <v>167</v>
      </c>
      <c r="E69" s="1360"/>
      <c r="F69" s="289"/>
      <c r="G69" s="537"/>
      <c r="H69" s="245"/>
      <c r="I69" s="260"/>
      <c r="J69" s="1287"/>
      <c r="K69" s="1336" t="s">
        <v>327</v>
      </c>
      <c r="L69" s="1356">
        <v>0.5</v>
      </c>
      <c r="M69" s="1357">
        <v>0.5</v>
      </c>
      <c r="N69" s="1358">
        <v>0.5</v>
      </c>
    </row>
    <row r="70" spans="1:15" s="3" customFormat="1" ht="43.5" customHeight="1" x14ac:dyDescent="0.25">
      <c r="A70" s="2197"/>
      <c r="B70" s="2198"/>
      <c r="C70" s="2203"/>
      <c r="D70" s="2184"/>
      <c r="E70" s="1360"/>
      <c r="F70" s="289"/>
      <c r="G70" s="1492"/>
      <c r="H70" s="1352"/>
      <c r="I70" s="1126"/>
      <c r="J70" s="1321"/>
      <c r="K70" s="1375" t="s">
        <v>146</v>
      </c>
      <c r="L70" s="1124" t="s">
        <v>101</v>
      </c>
      <c r="M70" s="1376">
        <v>20</v>
      </c>
      <c r="N70" s="1377">
        <v>20</v>
      </c>
    </row>
    <row r="71" spans="1:15" s="3" customFormat="1" ht="42" customHeight="1" x14ac:dyDescent="0.25">
      <c r="A71" s="1425"/>
      <c r="B71" s="1426"/>
      <c r="C71" s="1427"/>
      <c r="D71" s="2178" t="s">
        <v>318</v>
      </c>
      <c r="E71" s="1435"/>
      <c r="F71" s="1436"/>
      <c r="G71" s="296"/>
      <c r="H71" s="2236"/>
      <c r="I71" s="2234"/>
      <c r="J71" s="1437"/>
      <c r="K71" s="1375" t="s">
        <v>146</v>
      </c>
      <c r="L71" s="1124" t="s">
        <v>19</v>
      </c>
      <c r="M71" s="1228"/>
      <c r="N71" s="314"/>
    </row>
    <row r="72" spans="1:15" s="3" customFormat="1" ht="21" customHeight="1" x14ac:dyDescent="0.25">
      <c r="A72" s="2197"/>
      <c r="B72" s="2198"/>
      <c r="C72" s="2203"/>
      <c r="D72" s="2286" t="s">
        <v>198</v>
      </c>
      <c r="E72" s="1360"/>
      <c r="F72" s="289"/>
      <c r="G72" s="1492"/>
      <c r="H72" s="1352"/>
      <c r="I72" s="1126"/>
      <c r="J72" s="1321"/>
      <c r="K72" s="2356" t="s">
        <v>199</v>
      </c>
      <c r="L72" s="1061" t="s">
        <v>19</v>
      </c>
      <c r="M72" s="1064"/>
      <c r="N72" s="387"/>
    </row>
    <row r="73" spans="1:15" s="3" customFormat="1" ht="21" customHeight="1" x14ac:dyDescent="0.25">
      <c r="A73" s="2197"/>
      <c r="B73" s="2198"/>
      <c r="C73" s="2191"/>
      <c r="D73" s="2287"/>
      <c r="E73" s="161"/>
      <c r="F73" s="289"/>
      <c r="G73" s="1492"/>
      <c r="H73" s="1352"/>
      <c r="I73" s="1126"/>
      <c r="J73" s="1321"/>
      <c r="K73" s="2441"/>
      <c r="L73" s="1124"/>
      <c r="M73" s="1228"/>
      <c r="N73" s="314"/>
    </row>
    <row r="74" spans="1:15" s="3" customFormat="1" ht="41.25" customHeight="1" x14ac:dyDescent="0.25">
      <c r="A74" s="2197"/>
      <c r="B74" s="2198"/>
      <c r="C74" s="2203"/>
      <c r="D74" s="2247" t="s">
        <v>153</v>
      </c>
      <c r="E74" s="1360"/>
      <c r="F74" s="289"/>
      <c r="G74" s="537"/>
      <c r="H74" s="245"/>
      <c r="I74" s="260"/>
      <c r="J74" s="331"/>
      <c r="K74" s="1491" t="s">
        <v>203</v>
      </c>
      <c r="L74" s="1128" t="s">
        <v>200</v>
      </c>
      <c r="M74" s="1143">
        <v>70</v>
      </c>
      <c r="N74" s="1149">
        <v>70</v>
      </c>
    </row>
    <row r="75" spans="1:15" s="3" customFormat="1" ht="28.5" customHeight="1" x14ac:dyDescent="0.25">
      <c r="A75" s="2197"/>
      <c r="B75" s="2198"/>
      <c r="C75" s="2203"/>
      <c r="D75" s="2247"/>
      <c r="E75" s="1360"/>
      <c r="F75" s="289"/>
      <c r="G75" s="537"/>
      <c r="H75" s="245"/>
      <c r="I75" s="260"/>
      <c r="J75" s="1287"/>
      <c r="K75" s="1491" t="s">
        <v>204</v>
      </c>
      <c r="L75" s="1128" t="s">
        <v>201</v>
      </c>
      <c r="M75" s="1143">
        <v>42</v>
      </c>
      <c r="N75" s="1149">
        <v>42</v>
      </c>
    </row>
    <row r="76" spans="1:15" s="3" customFormat="1" ht="41.25" customHeight="1" x14ac:dyDescent="0.25">
      <c r="A76" s="2197"/>
      <c r="B76" s="2198"/>
      <c r="C76" s="2203"/>
      <c r="D76" s="2247"/>
      <c r="E76" s="1360"/>
      <c r="F76" s="289"/>
      <c r="G76" s="537"/>
      <c r="H76" s="245"/>
      <c r="I76" s="260"/>
      <c r="J76" s="1287"/>
      <c r="K76" s="1338" t="s">
        <v>205</v>
      </c>
      <c r="L76" s="1131" t="s">
        <v>202</v>
      </c>
      <c r="M76" s="1144">
        <v>63</v>
      </c>
      <c r="N76" s="1150">
        <v>63</v>
      </c>
    </row>
    <row r="77" spans="1:15" s="3" customFormat="1" ht="16.5" customHeight="1" thickBot="1" x14ac:dyDescent="0.3">
      <c r="A77" s="2197"/>
      <c r="B77" s="2198"/>
      <c r="C77" s="2203"/>
      <c r="D77" s="1308"/>
      <c r="E77" s="1360"/>
      <c r="F77" s="289"/>
      <c r="G77" s="537"/>
      <c r="H77" s="1282"/>
      <c r="I77" s="260"/>
      <c r="J77" s="1287"/>
      <c r="K77" s="1378" t="s">
        <v>292</v>
      </c>
      <c r="L77" s="1379"/>
      <c r="M77" s="1380" t="s">
        <v>291</v>
      </c>
      <c r="N77" s="1381"/>
    </row>
    <row r="78" spans="1:15" s="3" customFormat="1" ht="17.25" customHeight="1" x14ac:dyDescent="0.25">
      <c r="A78" s="2197"/>
      <c r="B78" s="2198"/>
      <c r="C78" s="2203"/>
      <c r="D78" s="2288" t="s">
        <v>48</v>
      </c>
      <c r="E78" s="1360"/>
      <c r="F78" s="2204"/>
      <c r="G78" s="537"/>
      <c r="H78" s="245"/>
      <c r="I78" s="260"/>
      <c r="J78" s="1287"/>
      <c r="K78" s="1313" t="s">
        <v>207</v>
      </c>
      <c r="L78" s="1132" t="s">
        <v>206</v>
      </c>
      <c r="M78" s="1145">
        <v>14000</v>
      </c>
      <c r="N78" s="1151">
        <v>14000</v>
      </c>
      <c r="O78" s="144"/>
    </row>
    <row r="79" spans="1:15" s="3" customFormat="1" ht="29.25" customHeight="1" x14ac:dyDescent="0.25">
      <c r="A79" s="2197"/>
      <c r="B79" s="2198"/>
      <c r="C79" s="2203"/>
      <c r="D79" s="2288"/>
      <c r="F79" s="1364"/>
      <c r="G79" s="1361"/>
      <c r="I79" s="262"/>
      <c r="J79" s="1092"/>
      <c r="K79" s="1341" t="s">
        <v>306</v>
      </c>
      <c r="L79" s="1097">
        <v>5</v>
      </c>
      <c r="M79" s="102"/>
      <c r="N79" s="1490"/>
      <c r="O79" s="1303"/>
    </row>
    <row r="80" spans="1:15" s="3" customFormat="1" ht="30.75" customHeight="1" x14ac:dyDescent="0.25">
      <c r="A80" s="2197"/>
      <c r="B80" s="2198"/>
      <c r="C80" s="2203"/>
      <c r="D80" s="1361"/>
      <c r="F80" s="1364"/>
      <c r="G80" s="1361"/>
      <c r="I80" s="1362"/>
      <c r="J80" s="1363"/>
      <c r="K80" s="1341" t="s">
        <v>328</v>
      </c>
      <c r="L80" s="1097">
        <v>30</v>
      </c>
      <c r="M80" s="1083"/>
      <c r="N80" s="1489"/>
    </row>
    <row r="81" spans="1:18" s="3" customFormat="1" ht="29.25" customHeight="1" x14ac:dyDescent="0.25">
      <c r="A81" s="2197"/>
      <c r="B81" s="2198"/>
      <c r="C81" s="2203"/>
      <c r="D81" s="2202"/>
      <c r="E81" s="1360"/>
      <c r="F81" s="2204"/>
      <c r="G81" s="543"/>
      <c r="H81" s="1455"/>
      <c r="I81" s="1126"/>
      <c r="J81" s="1321"/>
      <c r="K81" s="1340" t="s">
        <v>208</v>
      </c>
      <c r="L81" s="1134">
        <v>12</v>
      </c>
      <c r="M81" s="1146">
        <v>12</v>
      </c>
      <c r="N81" s="1079">
        <v>12</v>
      </c>
    </row>
    <row r="82" spans="1:18" s="3" customFormat="1" ht="42" customHeight="1" x14ac:dyDescent="0.25">
      <c r="A82" s="2197"/>
      <c r="B82" s="2198"/>
      <c r="C82" s="2203"/>
      <c r="D82" s="2202"/>
      <c r="E82" s="1360"/>
      <c r="F82" s="2204"/>
      <c r="G82" s="543"/>
      <c r="H82" s="1455"/>
      <c r="I82" s="1126"/>
      <c r="J82" s="1321"/>
      <c r="K82" s="1340" t="s">
        <v>293</v>
      </c>
      <c r="L82" s="1134">
        <v>12</v>
      </c>
      <c r="M82" s="1146">
        <v>8</v>
      </c>
      <c r="N82" s="1079">
        <v>8</v>
      </c>
    </row>
    <row r="83" spans="1:18" s="3" customFormat="1" ht="41.25" customHeight="1" x14ac:dyDescent="0.25">
      <c r="A83" s="2197"/>
      <c r="B83" s="2198"/>
      <c r="C83" s="2203"/>
      <c r="D83" s="2202"/>
      <c r="E83" s="1360"/>
      <c r="F83" s="2204"/>
      <c r="G83" s="1492"/>
      <c r="H83" s="1352"/>
      <c r="I83" s="1126"/>
      <c r="J83" s="1321"/>
      <c r="K83" s="1340" t="s">
        <v>329</v>
      </c>
      <c r="L83" s="1134">
        <v>3</v>
      </c>
      <c r="M83" s="1146">
        <v>4</v>
      </c>
      <c r="N83" s="1079">
        <v>4</v>
      </c>
    </row>
    <row r="84" spans="1:18" s="3" customFormat="1" ht="32.25" customHeight="1" x14ac:dyDescent="0.25">
      <c r="A84" s="2197"/>
      <c r="B84" s="2198"/>
      <c r="C84" s="2203"/>
      <c r="D84" s="2202"/>
      <c r="E84" s="1360"/>
      <c r="F84" s="2204"/>
      <c r="G84" s="1492"/>
      <c r="H84" s="1294"/>
      <c r="I84" s="1126"/>
      <c r="J84" s="1321"/>
      <c r="K84" s="2226" t="s">
        <v>240</v>
      </c>
      <c r="L84" s="103">
        <v>130</v>
      </c>
      <c r="M84" s="1062"/>
      <c r="N84" s="396"/>
    </row>
    <row r="85" spans="1:18" s="3" customFormat="1" ht="16.5" customHeight="1" x14ac:dyDescent="0.25">
      <c r="A85" s="2197"/>
      <c r="B85" s="2198"/>
      <c r="C85" s="2203"/>
      <c r="D85" s="2286" t="s">
        <v>321</v>
      </c>
      <c r="E85" s="1360"/>
      <c r="F85" s="2204"/>
      <c r="G85" s="537"/>
      <c r="H85" s="144"/>
      <c r="I85" s="260"/>
      <c r="J85" s="1287"/>
      <c r="K85" s="2435" t="s">
        <v>150</v>
      </c>
      <c r="L85" s="103">
        <v>104</v>
      </c>
      <c r="M85" s="130"/>
      <c r="N85" s="365"/>
    </row>
    <row r="86" spans="1:18" s="3" customFormat="1" ht="27.75" customHeight="1" x14ac:dyDescent="0.25">
      <c r="A86" s="2197"/>
      <c r="B86" s="2198"/>
      <c r="C86" s="2203"/>
      <c r="D86" s="2286"/>
      <c r="E86" s="1360"/>
      <c r="F86" s="2204"/>
      <c r="G86" s="537"/>
      <c r="H86" s="245"/>
      <c r="I86" s="260"/>
      <c r="J86" s="1287"/>
      <c r="K86" s="2282"/>
      <c r="L86" s="183"/>
      <c r="M86" s="101"/>
      <c r="N86" s="691"/>
    </row>
    <row r="87" spans="1:18" s="2" customFormat="1" ht="21.75" customHeight="1" x14ac:dyDescent="0.25">
      <c r="A87" s="2378"/>
      <c r="B87" s="2380"/>
      <c r="C87" s="2437"/>
      <c r="D87" s="2286" t="s">
        <v>341</v>
      </c>
      <c r="E87" s="2439"/>
      <c r="F87" s="2440"/>
      <c r="G87" s="191"/>
      <c r="H87" s="245"/>
      <c r="I87" s="260"/>
      <c r="J87" s="331"/>
      <c r="K87" s="2185" t="s">
        <v>310</v>
      </c>
      <c r="L87" s="1291">
        <v>1</v>
      </c>
      <c r="M87" s="1212">
        <v>1</v>
      </c>
      <c r="N87" s="1292">
        <v>1</v>
      </c>
      <c r="O87" s="1290"/>
      <c r="R87" s="3"/>
    </row>
    <row r="88" spans="1:18" s="2" customFormat="1" ht="35.25" customHeight="1" x14ac:dyDescent="0.25">
      <c r="A88" s="2378"/>
      <c r="B88" s="2380"/>
      <c r="C88" s="2437"/>
      <c r="D88" s="2438"/>
      <c r="E88" s="2439"/>
      <c r="F88" s="2440"/>
      <c r="G88" s="191"/>
      <c r="H88" s="245"/>
      <c r="I88" s="260"/>
      <c r="J88" s="331"/>
      <c r="K88" s="1342" t="s">
        <v>311</v>
      </c>
      <c r="L88" s="1179">
        <v>6</v>
      </c>
      <c r="M88" s="1175">
        <v>6</v>
      </c>
      <c r="N88" s="1187">
        <v>6</v>
      </c>
      <c r="R88" s="3"/>
    </row>
    <row r="89" spans="1:18" s="2" customFormat="1" ht="24.75" customHeight="1" x14ac:dyDescent="0.25">
      <c r="A89" s="2378"/>
      <c r="B89" s="2380"/>
      <c r="C89" s="2437"/>
      <c r="D89" s="2438"/>
      <c r="E89" s="2439"/>
      <c r="F89" s="2440"/>
      <c r="G89" s="191"/>
      <c r="H89" s="245"/>
      <c r="I89" s="260"/>
      <c r="J89" s="331"/>
      <c r="K89" s="1343" t="s">
        <v>312</v>
      </c>
      <c r="L89" s="1095"/>
      <c r="M89" s="695">
        <v>1</v>
      </c>
      <c r="N89" s="1066"/>
      <c r="R89" s="3"/>
    </row>
    <row r="90" spans="1:18" s="3" customFormat="1" ht="41.25" customHeight="1" x14ac:dyDescent="0.25">
      <c r="A90" s="2197"/>
      <c r="B90" s="2198"/>
      <c r="C90" s="2203"/>
      <c r="D90" s="1359" t="s">
        <v>322</v>
      </c>
      <c r="E90" s="1360"/>
      <c r="F90" s="2204"/>
      <c r="G90" s="543"/>
      <c r="H90" s="1455"/>
      <c r="I90" s="1126"/>
      <c r="J90" s="1321"/>
      <c r="K90" s="1649"/>
      <c r="L90" s="183"/>
      <c r="M90" s="1083"/>
      <c r="N90" s="1489"/>
    </row>
    <row r="91" spans="1:18" s="3" customFormat="1" ht="44.25" customHeight="1" thickBot="1" x14ac:dyDescent="0.3">
      <c r="A91" s="2197"/>
      <c r="B91" s="2198"/>
      <c r="C91" s="2203"/>
      <c r="D91" s="1359" t="s">
        <v>139</v>
      </c>
      <c r="E91" s="1360"/>
      <c r="F91" s="2204"/>
      <c r="G91" s="543"/>
      <c r="H91" s="1455"/>
      <c r="I91" s="1126"/>
      <c r="J91" s="1321"/>
      <c r="K91" s="2222"/>
      <c r="L91" s="183"/>
      <c r="M91" s="1083"/>
      <c r="N91" s="1489"/>
      <c r="O91" s="1303"/>
    </row>
    <row r="92" spans="1:18" s="3" customFormat="1" ht="16.5" customHeight="1" x14ac:dyDescent="0.25">
      <c r="A92" s="2197"/>
      <c r="B92" s="2198"/>
      <c r="C92" s="2203"/>
      <c r="D92" s="2432" t="s">
        <v>154</v>
      </c>
      <c r="E92" s="1360"/>
      <c r="F92" s="2204"/>
      <c r="G92" s="537"/>
      <c r="H92" s="245"/>
      <c r="I92" s="260"/>
      <c r="J92" s="331"/>
      <c r="K92" s="1369" t="s">
        <v>93</v>
      </c>
      <c r="L92" s="1382">
        <v>187</v>
      </c>
      <c r="M92" s="1371">
        <v>187</v>
      </c>
      <c r="N92" s="1372">
        <v>187</v>
      </c>
    </row>
    <row r="93" spans="1:18" s="3" customFormat="1" ht="30" customHeight="1" x14ac:dyDescent="0.25">
      <c r="A93" s="2197"/>
      <c r="B93" s="2198"/>
      <c r="C93" s="2203"/>
      <c r="D93" s="2288"/>
      <c r="E93" s="1360"/>
      <c r="F93" s="2204"/>
      <c r="G93" s="537"/>
      <c r="H93" s="245"/>
      <c r="I93" s="260"/>
      <c r="J93" s="1287"/>
      <c r="K93" s="1309" t="s">
        <v>330</v>
      </c>
      <c r="L93" s="1134">
        <v>45</v>
      </c>
      <c r="M93" s="1141">
        <v>45</v>
      </c>
      <c r="N93" s="94">
        <v>45</v>
      </c>
    </row>
    <row r="94" spans="1:18" s="3" customFormat="1" ht="42" customHeight="1" thickBot="1" x14ac:dyDescent="0.3">
      <c r="A94" s="2197"/>
      <c r="B94" s="2198"/>
      <c r="C94" s="2203"/>
      <c r="D94" s="2433"/>
      <c r="E94" s="1360"/>
      <c r="F94" s="2204"/>
      <c r="G94" s="537"/>
      <c r="H94" s="245"/>
      <c r="I94" s="260"/>
      <c r="J94" s="1287"/>
      <c r="K94" s="1378" t="s">
        <v>331</v>
      </c>
      <c r="L94" s="1383">
        <v>159</v>
      </c>
      <c r="M94" s="1384"/>
      <c r="N94" s="1385"/>
    </row>
    <row r="95" spans="1:18" s="3" customFormat="1" ht="15" customHeight="1" x14ac:dyDescent="0.25">
      <c r="A95" s="2197"/>
      <c r="B95" s="2198"/>
      <c r="C95" s="2203"/>
      <c r="D95" s="2434" t="s">
        <v>155</v>
      </c>
      <c r="E95" s="1360"/>
      <c r="F95" s="2204"/>
      <c r="G95" s="537"/>
      <c r="H95" s="245"/>
      <c r="I95" s="260"/>
      <c r="J95" s="1287"/>
      <c r="K95" s="1313" t="s">
        <v>210</v>
      </c>
      <c r="L95" s="183">
        <v>30</v>
      </c>
      <c r="M95" s="416"/>
      <c r="N95" s="691"/>
    </row>
    <row r="96" spans="1:18" s="3" customFormat="1" ht="15" customHeight="1" thickBot="1" x14ac:dyDescent="0.3">
      <c r="A96" s="2197"/>
      <c r="B96" s="2198"/>
      <c r="C96" s="2203"/>
      <c r="D96" s="2434"/>
      <c r="E96" s="402"/>
      <c r="F96" s="2204"/>
      <c r="G96" s="537"/>
      <c r="H96" s="245"/>
      <c r="I96" s="260"/>
      <c r="J96" s="1287"/>
      <c r="K96" s="2199"/>
      <c r="L96" s="183"/>
      <c r="M96" s="101"/>
      <c r="N96" s="691"/>
    </row>
    <row r="97" spans="1:20" s="3" customFormat="1" ht="29.25" customHeight="1" x14ac:dyDescent="0.25">
      <c r="A97" s="2197"/>
      <c r="B97" s="2198"/>
      <c r="C97" s="2203"/>
      <c r="D97" s="2432" t="s">
        <v>156</v>
      </c>
      <c r="E97" s="402"/>
      <c r="F97" s="2204"/>
      <c r="G97" s="537"/>
      <c r="H97" s="245"/>
      <c r="I97" s="260"/>
      <c r="J97" s="331"/>
      <c r="K97" s="1369" t="s">
        <v>150</v>
      </c>
      <c r="L97" s="1382">
        <v>40</v>
      </c>
      <c r="M97" s="1371">
        <v>40</v>
      </c>
      <c r="N97" s="1372">
        <v>40</v>
      </c>
    </row>
    <row r="98" spans="1:20" s="3" customFormat="1" ht="15.75" customHeight="1" x14ac:dyDescent="0.25">
      <c r="A98" s="2197"/>
      <c r="B98" s="2198"/>
      <c r="C98" s="2203"/>
      <c r="D98" s="2288"/>
      <c r="E98" s="402"/>
      <c r="F98" s="2204"/>
      <c r="G98" s="537"/>
      <c r="H98" s="245"/>
      <c r="I98" s="260"/>
      <c r="J98" s="1287"/>
      <c r="K98" s="1339" t="s">
        <v>332</v>
      </c>
      <c r="L98" s="1134">
        <v>3</v>
      </c>
      <c r="M98" s="1141"/>
      <c r="N98" s="94"/>
    </row>
    <row r="99" spans="1:20" s="3" customFormat="1" ht="18" customHeight="1" x14ac:dyDescent="0.25">
      <c r="A99" s="2197"/>
      <c r="B99" s="2198"/>
      <c r="C99" s="2203"/>
      <c r="D99" s="2288"/>
      <c r="E99" s="402"/>
      <c r="F99" s="2204"/>
      <c r="G99" s="537"/>
      <c r="H99" s="245"/>
      <c r="I99" s="260"/>
      <c r="J99" s="331"/>
      <c r="K99" s="2435" t="s">
        <v>239</v>
      </c>
      <c r="L99" s="103">
        <v>20</v>
      </c>
      <c r="M99" s="1147">
        <v>20</v>
      </c>
      <c r="N99" s="1152">
        <v>20</v>
      </c>
    </row>
    <row r="100" spans="1:20" s="3" customFormat="1" ht="12" customHeight="1" thickBot="1" x14ac:dyDescent="0.3">
      <c r="A100" s="2197"/>
      <c r="B100" s="2198"/>
      <c r="C100" s="2203"/>
      <c r="D100" s="2433"/>
      <c r="E100" s="402"/>
      <c r="F100" s="2204"/>
      <c r="G100" s="537"/>
      <c r="H100" s="245"/>
      <c r="I100" s="260"/>
      <c r="J100" s="1287"/>
      <c r="K100" s="2436"/>
      <c r="L100" s="1386"/>
      <c r="M100" s="1387"/>
      <c r="N100" s="1388"/>
    </row>
    <row r="101" spans="1:20" s="3" customFormat="1" ht="17.25" customHeight="1" x14ac:dyDescent="0.25">
      <c r="A101" s="2197"/>
      <c r="B101" s="2198"/>
      <c r="C101" s="2203"/>
      <c r="D101" s="2288" t="s">
        <v>49</v>
      </c>
      <c r="E101" s="124"/>
      <c r="F101" s="2204"/>
      <c r="G101" s="537"/>
      <c r="H101" s="245"/>
      <c r="I101" s="260"/>
      <c r="J101" s="331"/>
      <c r="K101" s="1311" t="s">
        <v>210</v>
      </c>
      <c r="L101" s="431">
        <v>48</v>
      </c>
      <c r="M101" s="2239">
        <v>56</v>
      </c>
      <c r="N101" s="701">
        <v>56</v>
      </c>
    </row>
    <row r="102" spans="1:20" s="3" customFormat="1" ht="39" customHeight="1" x14ac:dyDescent="0.25">
      <c r="A102" s="579"/>
      <c r="B102" s="2198"/>
      <c r="C102" s="2203"/>
      <c r="D102" s="2288"/>
      <c r="E102" s="124"/>
      <c r="F102" s="2204"/>
      <c r="G102" s="191"/>
      <c r="H102" s="245"/>
      <c r="I102" s="260"/>
      <c r="J102" s="1287"/>
      <c r="K102" s="1344" t="s">
        <v>333</v>
      </c>
      <c r="L102" s="433">
        <v>2</v>
      </c>
      <c r="M102" s="2239"/>
      <c r="N102" s="701"/>
    </row>
    <row r="103" spans="1:20" s="3" customFormat="1" ht="27.75" customHeight="1" x14ac:dyDescent="0.25">
      <c r="A103" s="579"/>
      <c r="B103" s="2198"/>
      <c r="C103" s="2203"/>
      <c r="D103" s="2179"/>
      <c r="E103" s="124"/>
      <c r="F103" s="2204"/>
      <c r="G103" s="191"/>
      <c r="H103" s="245"/>
      <c r="I103" s="260"/>
      <c r="J103" s="1287"/>
      <c r="K103" s="1344" t="s">
        <v>294</v>
      </c>
      <c r="L103" s="433">
        <v>2</v>
      </c>
      <c r="M103" s="2239"/>
      <c r="N103" s="701"/>
    </row>
    <row r="104" spans="1:20" s="3" customFormat="1" ht="27.75" customHeight="1" x14ac:dyDescent="0.25">
      <c r="A104" s="1540"/>
      <c r="B104" s="1426"/>
      <c r="C104" s="1427"/>
      <c r="D104" s="2189"/>
      <c r="E104" s="1541"/>
      <c r="F104" s="1542"/>
      <c r="G104" s="1366"/>
      <c r="H104" s="255"/>
      <c r="I104" s="270"/>
      <c r="J104" s="1543"/>
      <c r="K104" s="1344" t="s">
        <v>295</v>
      </c>
      <c r="L104" s="433">
        <v>74</v>
      </c>
      <c r="M104" s="2239"/>
      <c r="N104" s="701"/>
    </row>
    <row r="105" spans="1:20" s="43" customFormat="1" ht="44.25" customHeight="1" x14ac:dyDescent="0.25">
      <c r="A105" s="579"/>
      <c r="B105" s="2198"/>
      <c r="C105" s="42"/>
      <c r="D105" s="2189" t="s">
        <v>142</v>
      </c>
      <c r="E105" s="124"/>
      <c r="F105" s="2204"/>
      <c r="G105" s="1366"/>
      <c r="H105" s="217"/>
      <c r="I105" s="230"/>
      <c r="J105" s="535"/>
      <c r="K105" s="1313" t="s">
        <v>211</v>
      </c>
      <c r="L105" s="183">
        <v>5</v>
      </c>
      <c r="M105" s="2238">
        <v>5</v>
      </c>
      <c r="N105" s="700">
        <v>5</v>
      </c>
    </row>
    <row r="106" spans="1:20" s="43" customFormat="1" ht="17.25" customHeight="1" thickBot="1" x14ac:dyDescent="0.3">
      <c r="A106" s="580"/>
      <c r="B106" s="2209"/>
      <c r="C106" s="297"/>
      <c r="D106" s="2420" t="s">
        <v>34</v>
      </c>
      <c r="E106" s="2353"/>
      <c r="F106" s="2353"/>
      <c r="G106" s="2421"/>
      <c r="H106" s="1322">
        <f>SUM(H52:H105)-H90-H91</f>
        <v>6627.3</v>
      </c>
      <c r="I106" s="1185">
        <f t="shared" ref="I106:J106" si="2">SUM(I52:I105)-I90-I91</f>
        <v>5750.2</v>
      </c>
      <c r="J106" s="1471">
        <f t="shared" si="2"/>
        <v>5686.7000000000007</v>
      </c>
      <c r="K106" s="1345"/>
      <c r="L106" s="405"/>
      <c r="M106" s="373"/>
      <c r="N106" s="692"/>
    </row>
    <row r="107" spans="1:20" s="45" customFormat="1" ht="47.25" customHeight="1" x14ac:dyDescent="0.25">
      <c r="A107" s="2422" t="s">
        <v>15</v>
      </c>
      <c r="B107" s="2424" t="s">
        <v>35</v>
      </c>
      <c r="C107" s="2426" t="s">
        <v>35</v>
      </c>
      <c r="D107" s="2397" t="s">
        <v>50</v>
      </c>
      <c r="E107" s="2428" t="s">
        <v>121</v>
      </c>
      <c r="F107" s="2430" t="s">
        <v>19</v>
      </c>
      <c r="G107" s="1248" t="s">
        <v>22</v>
      </c>
      <c r="H107" s="1472">
        <v>491.7</v>
      </c>
      <c r="I107" s="266">
        <v>445.7</v>
      </c>
      <c r="J107" s="864">
        <v>445.7</v>
      </c>
      <c r="K107" s="2409" t="s">
        <v>106</v>
      </c>
      <c r="L107" s="1153">
        <v>97</v>
      </c>
      <c r="M107" s="1154">
        <v>97</v>
      </c>
      <c r="N107" s="1155">
        <v>97</v>
      </c>
      <c r="O107" s="48"/>
    </row>
    <row r="108" spans="1:20" s="48" customFormat="1" ht="21.75" customHeight="1" thickBot="1" x14ac:dyDescent="0.3">
      <c r="A108" s="2423"/>
      <c r="B108" s="2425"/>
      <c r="C108" s="2427"/>
      <c r="D108" s="2398"/>
      <c r="E108" s="2429"/>
      <c r="F108" s="2431"/>
      <c r="G108" s="1249" t="s">
        <v>26</v>
      </c>
      <c r="H108" s="334">
        <f>SUM(H107)</f>
        <v>491.7</v>
      </c>
      <c r="I108" s="265">
        <f>SUM(I107)</f>
        <v>445.7</v>
      </c>
      <c r="J108" s="350">
        <f>SUM(J107)</f>
        <v>445.7</v>
      </c>
      <c r="K108" s="2410"/>
      <c r="L108" s="368"/>
      <c r="M108" s="1156"/>
      <c r="N108" s="1069"/>
    </row>
    <row r="109" spans="1:20" s="2" customFormat="1" ht="42" customHeight="1" x14ac:dyDescent="0.25">
      <c r="A109" s="581" t="s">
        <v>15</v>
      </c>
      <c r="B109" s="49" t="s">
        <v>35</v>
      </c>
      <c r="C109" s="171" t="s">
        <v>39</v>
      </c>
      <c r="D109" s="2411" t="s">
        <v>51</v>
      </c>
      <c r="E109" s="291"/>
      <c r="F109" s="105" t="s">
        <v>19</v>
      </c>
      <c r="G109" s="1248" t="s">
        <v>22</v>
      </c>
      <c r="H109" s="1474">
        <f>646.2+22</f>
        <v>668.2</v>
      </c>
      <c r="I109" s="704">
        <f>786.6-123.4</f>
        <v>663.2</v>
      </c>
      <c r="J109" s="819">
        <f>786.6-123.4</f>
        <v>663.2</v>
      </c>
      <c r="K109" s="2196"/>
      <c r="L109" s="1122"/>
      <c r="M109" s="385"/>
      <c r="N109" s="107"/>
    </row>
    <row r="110" spans="1:20" s="2" customFormat="1" ht="52.5" customHeight="1" x14ac:dyDescent="0.25">
      <c r="A110" s="582"/>
      <c r="B110" s="51"/>
      <c r="C110" s="703"/>
      <c r="D110" s="2412"/>
      <c r="E110" s="2219"/>
      <c r="F110" s="58"/>
      <c r="G110" s="1251"/>
      <c r="H110" s="52"/>
      <c r="I110" s="261"/>
      <c r="J110" s="328"/>
      <c r="K110" s="1311"/>
      <c r="L110" s="301"/>
      <c r="M110" s="2239"/>
      <c r="N110" s="701"/>
    </row>
    <row r="111" spans="1:20" s="2" customFormat="1" ht="68.25" customHeight="1" x14ac:dyDescent="0.25">
      <c r="A111" s="582"/>
      <c r="B111" s="51"/>
      <c r="C111" s="703"/>
      <c r="D111" s="26" t="s">
        <v>97</v>
      </c>
      <c r="E111" s="702"/>
      <c r="F111" s="58"/>
      <c r="G111" s="1161"/>
      <c r="H111" s="309"/>
      <c r="I111" s="311"/>
      <c r="J111" s="836"/>
      <c r="K111" s="2176" t="s">
        <v>233</v>
      </c>
      <c r="L111" s="1138" t="s">
        <v>385</v>
      </c>
      <c r="M111" s="1088">
        <v>13</v>
      </c>
      <c r="N111" s="1121">
        <v>13</v>
      </c>
      <c r="O111" s="1203"/>
      <c r="R111" s="3"/>
    </row>
    <row r="112" spans="1:20" s="2" customFormat="1" ht="62.25" customHeight="1" x14ac:dyDescent="0.25">
      <c r="A112" s="582"/>
      <c r="B112" s="51"/>
      <c r="C112" s="703"/>
      <c r="D112" s="26" t="s">
        <v>98</v>
      </c>
      <c r="E112" s="363" t="s">
        <v>124</v>
      </c>
      <c r="F112" s="58"/>
      <c r="G112" s="1161"/>
      <c r="H112" s="309"/>
      <c r="I112" s="311"/>
      <c r="J112" s="836"/>
      <c r="K112" s="1443" t="s">
        <v>212</v>
      </c>
      <c r="L112" s="1328">
        <v>19</v>
      </c>
      <c r="M112" s="1157">
        <v>20</v>
      </c>
      <c r="N112" s="1158">
        <v>20</v>
      </c>
      <c r="T112" s="3"/>
    </row>
    <row r="113" spans="1:24" s="2" customFormat="1" ht="39.75" customHeight="1" x14ac:dyDescent="0.25">
      <c r="A113" s="582"/>
      <c r="B113" s="51"/>
      <c r="C113" s="703"/>
      <c r="D113" s="2291" t="s">
        <v>99</v>
      </c>
      <c r="E113" s="705"/>
      <c r="F113" s="58"/>
      <c r="G113" s="1247"/>
      <c r="H113" s="1294"/>
      <c r="I113" s="1126"/>
      <c r="J113" s="1200"/>
      <c r="K113" s="1444" t="s">
        <v>232</v>
      </c>
      <c r="L113" s="1084">
        <v>34</v>
      </c>
      <c r="M113" s="1162">
        <v>34</v>
      </c>
      <c r="N113" s="1163">
        <v>34</v>
      </c>
      <c r="O113" s="1203"/>
      <c r="P113" s="3"/>
    </row>
    <row r="114" spans="1:24" s="2" customFormat="1" ht="41.25" customHeight="1" x14ac:dyDescent="0.25">
      <c r="A114" s="582"/>
      <c r="B114" s="51"/>
      <c r="C114" s="703"/>
      <c r="D114" s="2292"/>
      <c r="E114" s="2200"/>
      <c r="F114" s="58"/>
      <c r="G114" s="1247"/>
      <c r="H114" s="1294"/>
      <c r="I114" s="1126"/>
      <c r="J114" s="1200"/>
      <c r="K114" s="1445" t="s">
        <v>307</v>
      </c>
      <c r="L114" s="2224"/>
      <c r="M114" s="1159">
        <v>35</v>
      </c>
      <c r="N114" s="1160">
        <v>35</v>
      </c>
      <c r="O114" s="1203"/>
      <c r="P114" s="3"/>
    </row>
    <row r="115" spans="1:24" s="2" customFormat="1" ht="56.25" customHeight="1" x14ac:dyDescent="0.25">
      <c r="A115" s="582"/>
      <c r="B115" s="51"/>
      <c r="C115" s="703"/>
      <c r="D115" s="41" t="s">
        <v>100</v>
      </c>
      <c r="E115" s="899" t="s">
        <v>115</v>
      </c>
      <c r="F115" s="58"/>
      <c r="G115" s="1247"/>
      <c r="H115" s="1294"/>
      <c r="I115" s="1126"/>
      <c r="J115" s="1200"/>
      <c r="K115" s="1446" t="s">
        <v>213</v>
      </c>
      <c r="L115" s="2224">
        <v>150</v>
      </c>
      <c r="M115" s="1159">
        <v>120</v>
      </c>
      <c r="N115" s="1160">
        <v>120</v>
      </c>
      <c r="O115" s="3"/>
    </row>
    <row r="116" spans="1:24" s="2" customFormat="1" ht="78.75" customHeight="1" x14ac:dyDescent="0.25">
      <c r="A116" s="582"/>
      <c r="B116" s="51"/>
      <c r="C116" s="703"/>
      <c r="D116" s="54" t="s">
        <v>111</v>
      </c>
      <c r="E116" s="2221" t="s">
        <v>114</v>
      </c>
      <c r="F116" s="58"/>
      <c r="G116" s="1161"/>
      <c r="H116" s="309"/>
      <c r="I116" s="311"/>
      <c r="J116" s="836"/>
      <c r="K116" s="1447" t="s">
        <v>214</v>
      </c>
      <c r="L116" s="1084">
        <v>150</v>
      </c>
      <c r="M116" s="1162">
        <v>150</v>
      </c>
      <c r="N116" s="1163">
        <v>150</v>
      </c>
      <c r="O116" s="3"/>
      <c r="S116" s="3"/>
    </row>
    <row r="117" spans="1:24" s="2" customFormat="1" ht="63.75" customHeight="1" x14ac:dyDescent="0.25">
      <c r="A117" s="2197"/>
      <c r="B117" s="2198"/>
      <c r="C117" s="2211"/>
      <c r="D117" s="55" t="s">
        <v>110</v>
      </c>
      <c r="E117" s="126" t="s">
        <v>122</v>
      </c>
      <c r="F117" s="2192"/>
      <c r="G117" s="1161"/>
      <c r="H117" s="309"/>
      <c r="I117" s="311"/>
      <c r="J117" s="836"/>
      <c r="K117" s="1447" t="s">
        <v>215</v>
      </c>
      <c r="L117" s="1329">
        <v>1</v>
      </c>
      <c r="M117" s="1162">
        <v>1</v>
      </c>
      <c r="N117" s="1163">
        <v>1</v>
      </c>
    </row>
    <row r="118" spans="1:24" s="2" customFormat="1" ht="38.25" customHeight="1" x14ac:dyDescent="0.25">
      <c r="A118" s="2197"/>
      <c r="B118" s="2198"/>
      <c r="C118" s="2211"/>
      <c r="D118" s="2413" t="s">
        <v>52</v>
      </c>
      <c r="E118" s="705" t="s">
        <v>116</v>
      </c>
      <c r="F118" s="2192"/>
      <c r="G118" s="1161"/>
      <c r="H118" s="309"/>
      <c r="I118" s="311"/>
      <c r="J118" s="836"/>
      <c r="K118" s="2415" t="s">
        <v>216</v>
      </c>
      <c r="L118" s="1330">
        <v>20</v>
      </c>
      <c r="M118" s="1164">
        <v>20</v>
      </c>
      <c r="N118" s="1165">
        <v>20</v>
      </c>
    </row>
    <row r="119" spans="1:24" s="2" customFormat="1" ht="19.5" customHeight="1" thickBot="1" x14ac:dyDescent="0.3">
      <c r="A119" s="2207"/>
      <c r="B119" s="2209"/>
      <c r="C119" s="2212"/>
      <c r="D119" s="2414"/>
      <c r="E119" s="2237"/>
      <c r="F119" s="2194"/>
      <c r="G119" s="367" t="s">
        <v>26</v>
      </c>
      <c r="H119" s="30">
        <f>SUM(H109:H118)</f>
        <v>668.2</v>
      </c>
      <c r="I119" s="237">
        <f t="shared" ref="I119:J119" si="3">SUM(I109:I118)</f>
        <v>663.2</v>
      </c>
      <c r="J119" s="347">
        <f t="shared" si="3"/>
        <v>663.2</v>
      </c>
      <c r="K119" s="2405"/>
      <c r="L119" s="1331"/>
      <c r="M119" s="1166"/>
      <c r="N119" s="1167"/>
    </row>
    <row r="120" spans="1:24" s="2" customFormat="1" ht="15.75" customHeight="1" x14ac:dyDescent="0.25">
      <c r="A120" s="581" t="s">
        <v>15</v>
      </c>
      <c r="B120" s="49" t="s">
        <v>35</v>
      </c>
      <c r="C120" s="171" t="s">
        <v>41</v>
      </c>
      <c r="D120" s="2416" t="s">
        <v>53</v>
      </c>
      <c r="E120" s="2418" t="s">
        <v>118</v>
      </c>
      <c r="F120" s="105" t="s">
        <v>19</v>
      </c>
      <c r="G120" s="1250" t="s">
        <v>22</v>
      </c>
      <c r="H120" s="380">
        <v>93.4</v>
      </c>
      <c r="I120" s="1170">
        <f>128.4-35</f>
        <v>93.4</v>
      </c>
      <c r="J120" s="1234">
        <f>128.4-35</f>
        <v>93.4</v>
      </c>
      <c r="K120" s="2213"/>
      <c r="L120" s="689"/>
      <c r="M120" s="2230"/>
      <c r="N120" s="1072"/>
    </row>
    <row r="121" spans="1:24" s="2" customFormat="1" ht="15.75" customHeight="1" x14ac:dyDescent="0.25">
      <c r="A121" s="582"/>
      <c r="B121" s="51"/>
      <c r="C121" s="2214"/>
      <c r="D121" s="2417"/>
      <c r="E121" s="2419"/>
      <c r="F121" s="58"/>
      <c r="G121" s="1254" t="s">
        <v>37</v>
      </c>
      <c r="H121" s="1392">
        <v>241.9</v>
      </c>
      <c r="I121" s="1393">
        <v>241.9</v>
      </c>
      <c r="J121" s="1394">
        <v>241.9</v>
      </c>
      <c r="K121" s="1313"/>
      <c r="L121" s="183"/>
      <c r="M121" s="695"/>
      <c r="N121" s="1066"/>
    </row>
    <row r="122" spans="1:24" s="2" customFormat="1" ht="67.5" customHeight="1" x14ac:dyDescent="0.25">
      <c r="A122" s="582"/>
      <c r="B122" s="51"/>
      <c r="C122" s="2214"/>
      <c r="D122" s="57" t="s">
        <v>55</v>
      </c>
      <c r="E122" s="2419"/>
      <c r="F122" s="58"/>
      <c r="G122" s="1251"/>
      <c r="H122" s="137"/>
      <c r="I122" s="1389"/>
      <c r="J122" s="1390"/>
      <c r="K122" s="1309" t="s">
        <v>334</v>
      </c>
      <c r="L122" s="1174">
        <v>19</v>
      </c>
      <c r="M122" s="317">
        <v>19</v>
      </c>
      <c r="N122" s="1078">
        <v>19</v>
      </c>
      <c r="O122" s="1533"/>
      <c r="Q122" s="3"/>
      <c r="R122" s="3"/>
      <c r="S122" s="3"/>
      <c r="X122" s="3"/>
    </row>
    <row r="123" spans="1:24" s="2" customFormat="1" ht="15.75" customHeight="1" x14ac:dyDescent="0.25">
      <c r="A123" s="2406"/>
      <c r="B123" s="2407"/>
      <c r="C123" s="2211"/>
      <c r="D123" s="2291" t="s">
        <v>56</v>
      </c>
      <c r="E123" s="2419"/>
      <c r="F123" s="1494"/>
      <c r="G123" s="1251"/>
      <c r="H123" s="137"/>
      <c r="I123" s="262"/>
      <c r="J123" s="811"/>
      <c r="K123" s="2408" t="s">
        <v>296</v>
      </c>
      <c r="L123" s="1204" t="s">
        <v>297</v>
      </c>
      <c r="M123" s="1205" t="s">
        <v>297</v>
      </c>
      <c r="N123" s="1165">
        <v>11</v>
      </c>
    </row>
    <row r="124" spans="1:24" s="2" customFormat="1" ht="15.75" customHeight="1" x14ac:dyDescent="0.25">
      <c r="A124" s="2406"/>
      <c r="B124" s="2407"/>
      <c r="C124" s="2211"/>
      <c r="D124" s="2293"/>
      <c r="E124" s="155"/>
      <c r="F124" s="1494"/>
      <c r="G124" s="709"/>
      <c r="H124" s="14"/>
      <c r="I124" s="230"/>
      <c r="J124" s="535"/>
      <c r="K124" s="2408"/>
      <c r="L124" s="1180"/>
      <c r="M124" s="22"/>
      <c r="N124" s="1168"/>
    </row>
    <row r="125" spans="1:24" s="2" customFormat="1" ht="16.5" customHeight="1" thickBot="1" x14ac:dyDescent="0.3">
      <c r="A125" s="2207"/>
      <c r="B125" s="2209"/>
      <c r="C125" s="2212"/>
      <c r="D125" s="2294"/>
      <c r="E125" s="2237"/>
      <c r="F125" s="2195"/>
      <c r="G125" s="1249" t="s">
        <v>26</v>
      </c>
      <c r="H125" s="47">
        <f>SUM(H120:H124)</f>
        <v>335.3</v>
      </c>
      <c r="I125" s="265">
        <f t="shared" ref="I125:J125" si="4">SUM(I120:I124)</f>
        <v>335.3</v>
      </c>
      <c r="J125" s="820">
        <f t="shared" si="4"/>
        <v>335.3</v>
      </c>
      <c r="K125" s="1346"/>
      <c r="L125" s="1181"/>
      <c r="M125" s="1172"/>
      <c r="N125" s="1171"/>
    </row>
    <row r="126" spans="1:24" s="2" customFormat="1" ht="25.5" customHeight="1" x14ac:dyDescent="0.25">
      <c r="A126" s="2206" t="s">
        <v>15</v>
      </c>
      <c r="B126" s="2208" t="s">
        <v>35</v>
      </c>
      <c r="C126" s="2210" t="s">
        <v>42</v>
      </c>
      <c r="D126" s="1714" t="s">
        <v>57</v>
      </c>
      <c r="E126" s="1122"/>
      <c r="F126" s="1222" t="s">
        <v>58</v>
      </c>
      <c r="G126" s="1250" t="s">
        <v>22</v>
      </c>
      <c r="H126" s="566">
        <v>90</v>
      </c>
      <c r="I126" s="900">
        <v>90</v>
      </c>
      <c r="J126" s="1323">
        <v>90</v>
      </c>
      <c r="K126" s="1347" t="s">
        <v>59</v>
      </c>
      <c r="L126" s="1030">
        <v>22</v>
      </c>
      <c r="M126" s="1214">
        <v>22</v>
      </c>
      <c r="N126" s="1215">
        <v>22</v>
      </c>
      <c r="T126" s="3"/>
    </row>
    <row r="127" spans="1:24" s="2" customFormat="1" ht="27" customHeight="1" x14ac:dyDescent="0.25">
      <c r="A127" s="1716"/>
      <c r="B127" s="1717"/>
      <c r="C127" s="1718"/>
      <c r="D127" s="54"/>
      <c r="E127" s="2224"/>
      <c r="F127" s="1719"/>
      <c r="G127" s="1720" t="s">
        <v>37</v>
      </c>
      <c r="H127" s="1560"/>
      <c r="I127" s="280">
        <v>110</v>
      </c>
      <c r="J127" s="1563">
        <v>110</v>
      </c>
      <c r="K127" s="1446" t="s">
        <v>258</v>
      </c>
      <c r="L127" s="1650">
        <v>5</v>
      </c>
      <c r="M127" s="1651"/>
      <c r="N127" s="1652"/>
      <c r="T127" s="3"/>
    </row>
    <row r="128" spans="1:24" s="2" customFormat="1" ht="42.75" customHeight="1" x14ac:dyDescent="0.25">
      <c r="A128" s="1712"/>
      <c r="B128" s="1713"/>
      <c r="C128" s="2211"/>
      <c r="D128" s="2202"/>
      <c r="E128" s="2223"/>
      <c r="F128" s="1223"/>
      <c r="G128" s="1253" t="s">
        <v>37</v>
      </c>
      <c r="H128" s="14">
        <v>137.30000000000001</v>
      </c>
      <c r="I128" s="230"/>
      <c r="J128" s="535"/>
      <c r="K128" s="1446" t="s">
        <v>107</v>
      </c>
      <c r="L128" s="1650">
        <v>10</v>
      </c>
      <c r="M128" s="1651">
        <v>10</v>
      </c>
      <c r="N128" s="1652">
        <v>10</v>
      </c>
    </row>
    <row r="129" spans="1:20" s="2" customFormat="1" ht="15" customHeight="1" x14ac:dyDescent="0.25">
      <c r="A129" s="1712"/>
      <c r="B129" s="1713"/>
      <c r="C129" s="2211"/>
      <c r="D129" s="2202"/>
      <c r="E129" s="2223"/>
      <c r="F129" s="1223"/>
      <c r="G129" s="1253"/>
      <c r="H129" s="14"/>
      <c r="I129" s="230"/>
      <c r="J129" s="535"/>
      <c r="K129" s="2404" t="s">
        <v>147</v>
      </c>
      <c r="L129" s="1221">
        <v>30</v>
      </c>
      <c r="M129" s="1219">
        <v>30</v>
      </c>
      <c r="N129" s="1220">
        <v>30</v>
      </c>
    </row>
    <row r="130" spans="1:20" s="2" customFormat="1" ht="16.5" customHeight="1" thickBot="1" x14ac:dyDescent="0.3">
      <c r="A130" s="2197"/>
      <c r="B130" s="2198"/>
      <c r="C130" s="2211"/>
      <c r="D130" s="1715"/>
      <c r="E130" s="2223"/>
      <c r="F130" s="1223"/>
      <c r="G130" s="1255" t="s">
        <v>26</v>
      </c>
      <c r="H130" s="30">
        <f>SUM(H126:H129)</f>
        <v>227.3</v>
      </c>
      <c r="I130" s="237">
        <f>SUM(I126:I129)</f>
        <v>200</v>
      </c>
      <c r="J130" s="381">
        <f>SUM(J126:J129)</f>
        <v>200</v>
      </c>
      <c r="K130" s="2405"/>
      <c r="L130" s="1224"/>
      <c r="M130" s="1225"/>
      <c r="N130" s="1226"/>
      <c r="T130" s="3"/>
    </row>
    <row r="131" spans="1:20" s="2" customFormat="1" ht="18.75" customHeight="1" x14ac:dyDescent="0.25">
      <c r="A131" s="2206" t="s">
        <v>15</v>
      </c>
      <c r="B131" s="2208" t="s">
        <v>35</v>
      </c>
      <c r="C131" s="2210" t="s">
        <v>60</v>
      </c>
      <c r="D131" s="2397" t="s">
        <v>112</v>
      </c>
      <c r="E131" s="38"/>
      <c r="F131" s="2399">
        <v>3</v>
      </c>
      <c r="G131" s="1250" t="s">
        <v>22</v>
      </c>
      <c r="H131" s="605">
        <v>5</v>
      </c>
      <c r="I131" s="607">
        <v>5</v>
      </c>
      <c r="J131" s="1324">
        <v>5</v>
      </c>
      <c r="K131" s="2402" t="s">
        <v>305</v>
      </c>
      <c r="L131" s="1176">
        <v>2</v>
      </c>
      <c r="M131" s="1135">
        <v>2</v>
      </c>
      <c r="N131" s="1073">
        <v>2</v>
      </c>
    </row>
    <row r="132" spans="1:20" s="2" customFormat="1" ht="16.5" customHeight="1" thickBot="1" x14ac:dyDescent="0.3">
      <c r="A132" s="2207"/>
      <c r="B132" s="2209"/>
      <c r="C132" s="2212"/>
      <c r="D132" s="2398"/>
      <c r="E132" s="1438"/>
      <c r="F132" s="2400"/>
      <c r="G132" s="1249" t="s">
        <v>26</v>
      </c>
      <c r="H132" s="30">
        <f>H131</f>
        <v>5</v>
      </c>
      <c r="I132" s="237">
        <f>I131</f>
        <v>5</v>
      </c>
      <c r="J132" s="347">
        <f>J131</f>
        <v>5</v>
      </c>
      <c r="K132" s="2403"/>
      <c r="L132" s="1439"/>
      <c r="M132" s="1440"/>
      <c r="N132" s="1441"/>
    </row>
    <row r="133" spans="1:20" s="2" customFormat="1" ht="16.5" customHeight="1" x14ac:dyDescent="0.25">
      <c r="A133" s="2377" t="s">
        <v>15</v>
      </c>
      <c r="B133" s="2379" t="s">
        <v>35</v>
      </c>
      <c r="C133" s="2381" t="s">
        <v>61</v>
      </c>
      <c r="D133" s="2383" t="s">
        <v>130</v>
      </c>
      <c r="E133" s="2385"/>
      <c r="F133" s="2387">
        <v>3</v>
      </c>
      <c r="G133" s="565" t="s">
        <v>20</v>
      </c>
      <c r="H133" s="1478">
        <v>91.9</v>
      </c>
      <c r="I133" s="278">
        <v>76.900000000000006</v>
      </c>
      <c r="J133" s="338"/>
      <c r="K133" s="2213" t="s">
        <v>128</v>
      </c>
      <c r="L133" s="1182">
        <v>300</v>
      </c>
      <c r="M133" s="2230">
        <v>350</v>
      </c>
      <c r="N133" s="1072"/>
    </row>
    <row r="134" spans="1:20" s="2" customFormat="1" ht="16.5" customHeight="1" x14ac:dyDescent="0.25">
      <c r="A134" s="2378"/>
      <c r="B134" s="2380"/>
      <c r="C134" s="2382"/>
      <c r="D134" s="2384"/>
      <c r="E134" s="2386"/>
      <c r="F134" s="2388"/>
      <c r="G134" s="292" t="s">
        <v>339</v>
      </c>
      <c r="H134" s="1010">
        <v>34.6</v>
      </c>
      <c r="I134" s="1510"/>
      <c r="J134" s="1512"/>
      <c r="K134" s="1313"/>
      <c r="L134" s="1095"/>
      <c r="M134" s="695"/>
      <c r="N134" s="1066"/>
    </row>
    <row r="135" spans="1:20" s="2" customFormat="1" ht="16.5" customHeight="1" x14ac:dyDescent="0.25">
      <c r="A135" s="2378"/>
      <c r="B135" s="2380"/>
      <c r="C135" s="2382"/>
      <c r="D135" s="2384"/>
      <c r="E135" s="2386"/>
      <c r="F135" s="2388"/>
      <c r="G135" s="292" t="s">
        <v>168</v>
      </c>
      <c r="H135" s="1010">
        <v>206.5</v>
      </c>
      <c r="I135" s="445">
        <v>172.5</v>
      </c>
      <c r="J135" s="718"/>
      <c r="K135" s="1313"/>
      <c r="L135" s="1095"/>
      <c r="M135" s="695"/>
      <c r="N135" s="1066"/>
    </row>
    <row r="136" spans="1:20" s="2" customFormat="1" ht="16.5" customHeight="1" x14ac:dyDescent="0.25">
      <c r="A136" s="2378"/>
      <c r="B136" s="2380"/>
      <c r="C136" s="2382"/>
      <c r="D136" s="2384"/>
      <c r="E136" s="2386"/>
      <c r="F136" s="2388"/>
      <c r="G136" s="292" t="s">
        <v>180</v>
      </c>
      <c r="H136" s="719">
        <v>77.8</v>
      </c>
      <c r="I136" s="274"/>
      <c r="J136" s="354"/>
      <c r="K136" s="1313"/>
      <c r="L136" s="1095"/>
      <c r="M136" s="695"/>
      <c r="N136" s="1066"/>
    </row>
    <row r="137" spans="1:20" s="2" customFormat="1" ht="15" customHeight="1" thickBot="1" x14ac:dyDescent="0.3">
      <c r="A137" s="2391"/>
      <c r="B137" s="2392"/>
      <c r="C137" s="2393"/>
      <c r="D137" s="2394"/>
      <c r="E137" s="2395"/>
      <c r="F137" s="2396"/>
      <c r="G137" s="367" t="s">
        <v>26</v>
      </c>
      <c r="H137" s="30">
        <f>SUM(H133:H136)</f>
        <v>410.8</v>
      </c>
      <c r="I137" s="237">
        <f>SUM(I133:I135)</f>
        <v>249.4</v>
      </c>
      <c r="J137" s="347"/>
      <c r="K137" s="1314"/>
      <c r="L137" s="1183"/>
      <c r="M137" s="1177"/>
      <c r="N137" s="1186"/>
    </row>
    <row r="138" spans="1:20" s="2" customFormat="1" ht="18.75" customHeight="1" x14ac:dyDescent="0.25">
      <c r="A138" s="2377" t="s">
        <v>15</v>
      </c>
      <c r="B138" s="2379" t="s">
        <v>35</v>
      </c>
      <c r="C138" s="2381" t="s">
        <v>95</v>
      </c>
      <c r="D138" s="2389" t="s">
        <v>172</v>
      </c>
      <c r="E138" s="2385"/>
      <c r="F138" s="2387">
        <v>3</v>
      </c>
      <c r="G138" s="463" t="s">
        <v>22</v>
      </c>
      <c r="H138" s="318">
        <v>39.5</v>
      </c>
      <c r="I138" s="319">
        <v>7.3</v>
      </c>
      <c r="J138" s="329"/>
      <c r="K138" s="2401" t="s">
        <v>221</v>
      </c>
      <c r="L138" s="1178">
        <v>1</v>
      </c>
      <c r="M138" s="1105"/>
      <c r="N138" s="1072"/>
    </row>
    <row r="139" spans="1:20" s="2" customFormat="1" ht="41.25" customHeight="1" x14ac:dyDescent="0.25">
      <c r="A139" s="2378"/>
      <c r="B139" s="2380"/>
      <c r="C139" s="2382"/>
      <c r="D139" s="2390"/>
      <c r="E139" s="2386"/>
      <c r="F139" s="2388"/>
      <c r="G139" s="12" t="s">
        <v>168</v>
      </c>
      <c r="H139" s="138">
        <v>223.6</v>
      </c>
      <c r="I139" s="274">
        <v>41.5</v>
      </c>
      <c r="J139" s="354"/>
      <c r="K139" s="2322"/>
      <c r="L139" s="1184"/>
      <c r="M139" s="1086"/>
      <c r="N139" s="1076"/>
    </row>
    <row r="140" spans="1:20" s="2" customFormat="1" ht="43.5" customHeight="1" x14ac:dyDescent="0.25">
      <c r="A140" s="2378"/>
      <c r="B140" s="2380"/>
      <c r="C140" s="2382"/>
      <c r="D140" s="2390"/>
      <c r="E140" s="2386"/>
      <c r="F140" s="2388"/>
      <c r="G140" s="709"/>
      <c r="H140" s="122"/>
      <c r="I140" s="273"/>
      <c r="J140" s="575"/>
      <c r="K140" s="1349" t="s">
        <v>241</v>
      </c>
      <c r="L140" s="1179">
        <v>340</v>
      </c>
      <c r="M140" s="112"/>
      <c r="N140" s="1187"/>
      <c r="R140" s="3"/>
    </row>
    <row r="141" spans="1:20" s="2" customFormat="1" ht="15.75" customHeight="1" thickBot="1" x14ac:dyDescent="0.3">
      <c r="A141" s="2378"/>
      <c r="B141" s="2380"/>
      <c r="C141" s="2382"/>
      <c r="D141" s="2384"/>
      <c r="E141" s="2386"/>
      <c r="F141" s="2388"/>
      <c r="G141" s="367" t="s">
        <v>26</v>
      </c>
      <c r="H141" s="397">
        <f>SUM(H138:H140)</f>
        <v>263.10000000000002</v>
      </c>
      <c r="I141" s="826">
        <f t="shared" ref="I141" si="5">SUM(I138:I140)</f>
        <v>48.8</v>
      </c>
      <c r="J141" s="822"/>
      <c r="K141" s="1316" t="s">
        <v>220</v>
      </c>
      <c r="L141" s="405"/>
      <c r="M141" s="1188">
        <v>1</v>
      </c>
      <c r="N141" s="1070"/>
    </row>
    <row r="142" spans="1:20" s="2" customFormat="1" ht="21.75" customHeight="1" x14ac:dyDescent="0.25">
      <c r="A142" s="2377" t="s">
        <v>15</v>
      </c>
      <c r="B142" s="2379" t="s">
        <v>35</v>
      </c>
      <c r="C142" s="2381" t="s">
        <v>96</v>
      </c>
      <c r="D142" s="2383" t="s">
        <v>157</v>
      </c>
      <c r="E142" s="2385"/>
      <c r="F142" s="2387">
        <v>5</v>
      </c>
      <c r="G142" s="1256" t="s">
        <v>22</v>
      </c>
      <c r="H142" s="163">
        <f>137.3-50</f>
        <v>87.300000000000011</v>
      </c>
      <c r="I142" s="269">
        <v>96.9</v>
      </c>
      <c r="J142" s="164">
        <v>104.4</v>
      </c>
      <c r="K142" s="1350" t="s">
        <v>143</v>
      </c>
      <c r="L142" s="1178">
        <v>12</v>
      </c>
      <c r="M142" s="1264">
        <v>17</v>
      </c>
      <c r="N142" s="1265">
        <v>17</v>
      </c>
    </row>
    <row r="143" spans="1:20" s="2" customFormat="1" ht="26.25" customHeight="1" x14ac:dyDescent="0.25">
      <c r="A143" s="2378"/>
      <c r="B143" s="2380"/>
      <c r="C143" s="2382"/>
      <c r="D143" s="2384"/>
      <c r="E143" s="2386"/>
      <c r="F143" s="2388"/>
      <c r="G143" s="1257" t="s">
        <v>164</v>
      </c>
      <c r="H143" s="70">
        <v>50</v>
      </c>
      <c r="I143" s="279"/>
      <c r="J143" s="339"/>
      <c r="K143" s="2186"/>
      <c r="L143" s="1094"/>
      <c r="M143" s="1189"/>
      <c r="N143" s="1067"/>
      <c r="O143" s="1533"/>
      <c r="R143" s="3"/>
    </row>
    <row r="144" spans="1:20" s="2" customFormat="1" ht="20.25" customHeight="1" thickBot="1" x14ac:dyDescent="0.3">
      <c r="A144" s="2378"/>
      <c r="B144" s="2380"/>
      <c r="C144" s="2382"/>
      <c r="D144" s="2384"/>
      <c r="E144" s="2386"/>
      <c r="F144" s="2388"/>
      <c r="G144" s="1258" t="s">
        <v>26</v>
      </c>
      <c r="H144" s="47">
        <f>SUM(H142:H143)</f>
        <v>137.30000000000001</v>
      </c>
      <c r="I144" s="265">
        <f>SUM(I142:I143)</f>
        <v>96.9</v>
      </c>
      <c r="J144" s="820">
        <f>SUM(J142:J143)</f>
        <v>104.4</v>
      </c>
      <c r="K144" s="1351"/>
      <c r="L144" s="405"/>
      <c r="M144" s="710"/>
      <c r="N144" s="1070"/>
    </row>
    <row r="145" spans="1:19" s="2" customFormat="1" ht="16.5" customHeight="1" thickBot="1" x14ac:dyDescent="0.3">
      <c r="A145" s="577" t="s">
        <v>15</v>
      </c>
      <c r="B145" s="5" t="s">
        <v>35</v>
      </c>
      <c r="C145" s="2332" t="s">
        <v>43</v>
      </c>
      <c r="D145" s="2332"/>
      <c r="E145" s="2332"/>
      <c r="F145" s="2332"/>
      <c r="G145" s="2332"/>
      <c r="H145" s="63">
        <f>H132+H130+H125+H119+H108+H106+H137+H141+H144</f>
        <v>9166</v>
      </c>
      <c r="I145" s="241">
        <f>I132+I130+I125+I119+I108+I106+I137+I141+I144</f>
        <v>7794.4999999999991</v>
      </c>
      <c r="J145" s="823">
        <f>J132+J130+J125+J119+J108+J106+J137+J141+J144</f>
        <v>7440.3</v>
      </c>
      <c r="K145" s="2333"/>
      <c r="L145" s="2334"/>
      <c r="M145" s="2334"/>
      <c r="N145" s="2335"/>
      <c r="Q145" s="3"/>
    </row>
    <row r="146" spans="1:19" s="2" customFormat="1" ht="14.25" customHeight="1" thickBot="1" x14ac:dyDescent="0.3">
      <c r="A146" s="578" t="s">
        <v>15</v>
      </c>
      <c r="B146" s="5" t="s">
        <v>39</v>
      </c>
      <c r="C146" s="2372" t="s">
        <v>64</v>
      </c>
      <c r="D146" s="2372"/>
      <c r="E146" s="2372"/>
      <c r="F146" s="2372"/>
      <c r="G146" s="2372"/>
      <c r="H146" s="2372"/>
      <c r="I146" s="2372"/>
      <c r="J146" s="2372"/>
      <c r="K146" s="2372"/>
      <c r="L146" s="2372"/>
      <c r="M146" s="2372"/>
      <c r="N146" s="2373"/>
    </row>
    <row r="147" spans="1:19" s="3" customFormat="1" ht="54.75" customHeight="1" x14ac:dyDescent="0.25">
      <c r="A147" s="2206" t="s">
        <v>15</v>
      </c>
      <c r="B147" s="2208" t="s">
        <v>39</v>
      </c>
      <c r="C147" s="558" t="s">
        <v>15</v>
      </c>
      <c r="D147" s="147" t="s">
        <v>65</v>
      </c>
      <c r="E147" s="125"/>
      <c r="F147" s="150"/>
      <c r="G147" s="630"/>
      <c r="H147" s="162"/>
      <c r="I147" s="272"/>
      <c r="J147" s="843"/>
      <c r="K147" s="192"/>
      <c r="L147" s="1197"/>
      <c r="M147" s="1197"/>
      <c r="N147" s="388"/>
    </row>
    <row r="148" spans="1:19" s="48" customFormat="1" ht="21.75" customHeight="1" x14ac:dyDescent="0.25">
      <c r="A148" s="583"/>
      <c r="B148" s="152"/>
      <c r="C148" s="153"/>
      <c r="D148" s="2370" t="s">
        <v>126</v>
      </c>
      <c r="E148" s="684" t="s">
        <v>66</v>
      </c>
      <c r="F148" s="411">
        <v>1</v>
      </c>
      <c r="G148" s="2235" t="s">
        <v>22</v>
      </c>
      <c r="H148" s="2257">
        <v>114.2</v>
      </c>
      <c r="I148" s="2260"/>
      <c r="J148" s="343"/>
      <c r="K148" s="2187" t="s">
        <v>242</v>
      </c>
      <c r="L148" s="1198">
        <v>3</v>
      </c>
      <c r="M148" s="1208"/>
      <c r="N148" s="1207"/>
    </row>
    <row r="149" spans="1:19" s="48" customFormat="1" ht="21.75" customHeight="1" x14ac:dyDescent="0.25">
      <c r="A149" s="583"/>
      <c r="B149" s="154"/>
      <c r="C149" s="153"/>
      <c r="D149" s="2371"/>
      <c r="E149" s="708"/>
      <c r="F149" s="299"/>
      <c r="G149" s="1301" t="s">
        <v>164</v>
      </c>
      <c r="H149" s="1462">
        <v>345.8</v>
      </c>
      <c r="I149" s="1133"/>
      <c r="J149" s="1302"/>
      <c r="K149" s="409"/>
      <c r="L149" s="1199"/>
      <c r="M149" s="1209"/>
      <c r="N149" s="1074"/>
    </row>
    <row r="150" spans="1:19" s="3" customFormat="1" ht="17.25" customHeight="1" x14ac:dyDescent="0.25">
      <c r="A150" s="2197"/>
      <c r="B150" s="2198"/>
      <c r="C150" s="202"/>
      <c r="D150" s="2354" t="s">
        <v>229</v>
      </c>
      <c r="E150" s="1057" t="s">
        <v>66</v>
      </c>
      <c r="F150" s="1059">
        <v>5</v>
      </c>
      <c r="G150" s="1230" t="s">
        <v>22</v>
      </c>
      <c r="H150" s="1396">
        <f>559.3-30-4.2</f>
        <v>525.09999999999991</v>
      </c>
      <c r="I150" s="1442">
        <v>100</v>
      </c>
      <c r="J150" s="1260">
        <v>1000</v>
      </c>
      <c r="K150" s="357" t="s">
        <v>186</v>
      </c>
      <c r="L150" s="416">
        <v>100</v>
      </c>
      <c r="M150" s="1054"/>
      <c r="N150" s="396"/>
      <c r="O150" s="1395"/>
      <c r="P150" s="1395"/>
      <c r="Q150" s="1395"/>
    </row>
    <row r="151" spans="1:19" s="3" customFormat="1" ht="17.25" customHeight="1" x14ac:dyDescent="0.25">
      <c r="A151" s="2197"/>
      <c r="B151" s="2198"/>
      <c r="C151" s="202"/>
      <c r="D151" s="2288"/>
      <c r="E151" s="1058"/>
      <c r="F151" s="1060"/>
      <c r="G151" s="1230" t="s">
        <v>164</v>
      </c>
      <c r="H151" s="1299">
        <v>184.2</v>
      </c>
      <c r="I151" s="1300"/>
      <c r="J151" s="1260"/>
      <c r="K151" s="357" t="s">
        <v>225</v>
      </c>
      <c r="L151" s="1081">
        <v>100</v>
      </c>
      <c r="M151" s="416"/>
      <c r="N151" s="287"/>
      <c r="O151" s="1395"/>
      <c r="P151" s="1395"/>
      <c r="Q151" s="1395"/>
    </row>
    <row r="152" spans="1:19" s="3" customFormat="1" ht="17.25" customHeight="1" x14ac:dyDescent="0.25">
      <c r="A152" s="2197"/>
      <c r="B152" s="2198"/>
      <c r="C152" s="202"/>
      <c r="D152" s="2374"/>
      <c r="E152" s="1058"/>
      <c r="F152" s="1060"/>
      <c r="G152" s="1246" t="s">
        <v>168</v>
      </c>
      <c r="H152" s="1396">
        <f>347.7-225.3</f>
        <v>122.39999999999998</v>
      </c>
      <c r="I152" s="1300">
        <v>225.3</v>
      </c>
      <c r="J152" s="1260"/>
      <c r="K152" s="109"/>
      <c r="L152" s="1173"/>
      <c r="M152" s="1173"/>
      <c r="N152" s="1488"/>
      <c r="O152" s="1395"/>
      <c r="P152" s="1395"/>
      <c r="Q152" s="1395"/>
    </row>
    <row r="153" spans="1:19" s="3" customFormat="1" ht="15.75" customHeight="1" x14ac:dyDescent="0.25">
      <c r="A153" s="2197"/>
      <c r="B153" s="2198"/>
      <c r="C153" s="202"/>
      <c r="D153" s="2368" t="s">
        <v>226</v>
      </c>
      <c r="E153" s="1058"/>
      <c r="F153" s="1060"/>
      <c r="G153" s="1246" t="s">
        <v>180</v>
      </c>
      <c r="H153" s="1396">
        <v>2</v>
      </c>
      <c r="I153" s="321"/>
      <c r="J153" s="1495"/>
      <c r="K153" s="1493" t="s">
        <v>158</v>
      </c>
      <c r="L153" s="1055"/>
      <c r="M153" s="1054">
        <v>100</v>
      </c>
      <c r="N153" s="1220"/>
    </row>
    <row r="154" spans="1:19" s="3" customFormat="1" ht="27.75" customHeight="1" x14ac:dyDescent="0.25">
      <c r="A154" s="2197"/>
      <c r="B154" s="2198"/>
      <c r="C154" s="202"/>
      <c r="D154" s="2369"/>
      <c r="E154" s="1058"/>
      <c r="F154" s="1060"/>
      <c r="G154" s="1397"/>
      <c r="H154" s="1459"/>
      <c r="I154" s="230"/>
      <c r="J154" s="1165"/>
      <c r="K154" s="1493" t="s">
        <v>137</v>
      </c>
      <c r="L154" s="1055"/>
      <c r="M154" s="1055">
        <v>100</v>
      </c>
      <c r="N154" s="316"/>
    </row>
    <row r="155" spans="1:19" s="3" customFormat="1" ht="17.25" customHeight="1" x14ac:dyDescent="0.25">
      <c r="A155" s="2197"/>
      <c r="B155" s="2198"/>
      <c r="C155" s="202"/>
      <c r="D155" s="2369"/>
      <c r="E155" s="1058"/>
      <c r="F155" s="1060"/>
      <c r="G155" s="1293"/>
      <c r="H155" s="1459"/>
      <c r="I155" s="230"/>
      <c r="J155" s="535"/>
      <c r="K155" s="1493"/>
      <c r="L155" s="1055"/>
      <c r="M155" s="1055"/>
      <c r="N155" s="316"/>
    </row>
    <row r="156" spans="1:19" s="2" customFormat="1" ht="33.75" customHeight="1" x14ac:dyDescent="0.25">
      <c r="A156" s="2197"/>
      <c r="B156" s="2198"/>
      <c r="C156" s="2203"/>
      <c r="D156" s="2368" t="s">
        <v>222</v>
      </c>
      <c r="E156" s="2375" t="s">
        <v>121</v>
      </c>
      <c r="F156" s="1060"/>
      <c r="G156" s="1398"/>
      <c r="H156" s="1294"/>
      <c r="I156" s="1126"/>
      <c r="J156" s="1200"/>
      <c r="K156" s="499" t="s">
        <v>62</v>
      </c>
      <c r="L156" s="467">
        <v>1</v>
      </c>
      <c r="M156" s="467"/>
      <c r="N156" s="419"/>
      <c r="O156" s="3"/>
    </row>
    <row r="157" spans="1:19" s="2" customFormat="1" ht="33.75" customHeight="1" x14ac:dyDescent="0.25">
      <c r="A157" s="2197"/>
      <c r="B157" s="2198"/>
      <c r="C157" s="2203"/>
      <c r="D157" s="2369"/>
      <c r="E157" s="2376"/>
      <c r="F157" s="851"/>
      <c r="G157" s="1005"/>
      <c r="H157" s="1294"/>
      <c r="I157" s="1126"/>
      <c r="J157" s="1200"/>
      <c r="K157" s="2188" t="s">
        <v>187</v>
      </c>
      <c r="L157" s="869"/>
      <c r="M157" s="869">
        <v>5</v>
      </c>
      <c r="N157" s="870">
        <v>40</v>
      </c>
      <c r="S157" s="3"/>
    </row>
    <row r="158" spans="1:19" s="3" customFormat="1" ht="27.75" customHeight="1" x14ac:dyDescent="0.25">
      <c r="A158" s="2197"/>
      <c r="B158" s="2198"/>
      <c r="C158" s="64"/>
      <c r="D158" s="194" t="s">
        <v>223</v>
      </c>
      <c r="E158" s="1401"/>
      <c r="F158" s="1053"/>
      <c r="G158" s="1399"/>
      <c r="H158" s="2259"/>
      <c r="I158" s="273"/>
      <c r="J158" s="575"/>
      <c r="K158" s="109" t="s">
        <v>159</v>
      </c>
      <c r="L158" s="1402">
        <v>100</v>
      </c>
      <c r="M158" s="1402"/>
      <c r="N158" s="1101"/>
    </row>
    <row r="159" spans="1:19" s="3" customFormat="1" ht="43.5" customHeight="1" x14ac:dyDescent="0.25">
      <c r="A159" s="2197"/>
      <c r="B159" s="2198"/>
      <c r="C159" s="844"/>
      <c r="D159" s="1227" t="s">
        <v>303</v>
      </c>
      <c r="E159" s="846"/>
      <c r="F159" s="69">
        <v>6</v>
      </c>
      <c r="G159" s="1246" t="s">
        <v>22</v>
      </c>
      <c r="H159" s="2257">
        <v>93.6</v>
      </c>
      <c r="I159" s="2260">
        <v>132.80000000000001</v>
      </c>
      <c r="J159" s="343">
        <v>110.6</v>
      </c>
      <c r="K159" s="1405" t="s">
        <v>304</v>
      </c>
      <c r="L159" s="869"/>
      <c r="M159" s="2234">
        <v>100</v>
      </c>
      <c r="N159" s="1400"/>
      <c r="O159" s="1278"/>
      <c r="P159" s="1278"/>
      <c r="Q159" s="1278"/>
    </row>
    <row r="160" spans="1:19" s="3" customFormat="1" ht="54.75" customHeight="1" x14ac:dyDescent="0.25">
      <c r="A160" s="2197"/>
      <c r="B160" s="2198"/>
      <c r="C160" s="844"/>
      <c r="D160" s="845"/>
      <c r="E160" s="846"/>
      <c r="F160" s="69"/>
      <c r="G160" s="1246" t="s">
        <v>164</v>
      </c>
      <c r="H160" s="2257">
        <v>17</v>
      </c>
      <c r="I160" s="2260"/>
      <c r="J160" s="343"/>
      <c r="K160" s="1231" t="s">
        <v>335</v>
      </c>
      <c r="L160" s="1229"/>
      <c r="M160" s="2234">
        <v>100</v>
      </c>
      <c r="N160" s="849"/>
    </row>
    <row r="161" spans="1:18" s="1" customFormat="1" ht="30.75" customHeight="1" x14ac:dyDescent="0.2">
      <c r="A161" s="579"/>
      <c r="B161" s="2198"/>
      <c r="C161" s="2191"/>
      <c r="D161" s="1413" t="s">
        <v>141</v>
      </c>
      <c r="E161" s="468"/>
      <c r="F161" s="304"/>
      <c r="G161" s="1238"/>
      <c r="H161" s="144"/>
      <c r="I161" s="260"/>
      <c r="J161" s="1287"/>
      <c r="K161" s="527" t="s">
        <v>140</v>
      </c>
      <c r="L161" s="1229">
        <v>9</v>
      </c>
      <c r="M161" s="1403">
        <v>9</v>
      </c>
      <c r="N161" s="1404">
        <v>9</v>
      </c>
      <c r="Q161" s="68"/>
    </row>
    <row r="162" spans="1:18" s="2" customFormat="1" ht="16.5" customHeight="1" thickBot="1" x14ac:dyDescent="0.3">
      <c r="A162" s="2207"/>
      <c r="B162" s="2209"/>
      <c r="C162" s="203"/>
      <c r="D162" s="2359" t="s">
        <v>34</v>
      </c>
      <c r="E162" s="2360"/>
      <c r="F162" s="2360"/>
      <c r="G162" s="2360"/>
      <c r="H162" s="1297">
        <f>SUM(H148:H161)</f>
        <v>1404.2999999999997</v>
      </c>
      <c r="I162" s="1201">
        <f t="shared" ref="I162:J162" si="6">SUM(I148:I161)</f>
        <v>458.1</v>
      </c>
      <c r="J162" s="1298">
        <f t="shared" si="6"/>
        <v>1110.5999999999999</v>
      </c>
      <c r="K162" s="2361"/>
      <c r="L162" s="2362"/>
      <c r="M162" s="2362"/>
      <c r="N162" s="2363"/>
    </row>
    <row r="163" spans="1:18" s="2" customFormat="1" ht="16.5" customHeight="1" thickBot="1" x14ac:dyDescent="0.3">
      <c r="A163" s="577" t="s">
        <v>15</v>
      </c>
      <c r="B163" s="71" t="s">
        <v>39</v>
      </c>
      <c r="C163" s="2364" t="s">
        <v>43</v>
      </c>
      <c r="D163" s="2332"/>
      <c r="E163" s="2332"/>
      <c r="F163" s="2332"/>
      <c r="G163" s="2332"/>
      <c r="H163" s="63">
        <f>H162</f>
        <v>1404.2999999999997</v>
      </c>
      <c r="I163" s="241">
        <f t="shared" ref="I163:J163" si="7">I162</f>
        <v>458.1</v>
      </c>
      <c r="J163" s="382">
        <f t="shared" si="7"/>
        <v>1110.5999999999999</v>
      </c>
      <c r="K163" s="2333"/>
      <c r="L163" s="2334"/>
      <c r="M163" s="2334"/>
      <c r="N163" s="2335"/>
    </row>
    <row r="164" spans="1:18" s="1" customFormat="1" ht="16.5" customHeight="1" thickBot="1" x14ac:dyDescent="0.25">
      <c r="A164" s="577" t="s">
        <v>15</v>
      </c>
      <c r="B164" s="71" t="s">
        <v>41</v>
      </c>
      <c r="C164" s="2365" t="s">
        <v>67</v>
      </c>
      <c r="D164" s="2366"/>
      <c r="E164" s="2366"/>
      <c r="F164" s="2366"/>
      <c r="G164" s="2366"/>
      <c r="H164" s="2366"/>
      <c r="I164" s="2366"/>
      <c r="J164" s="2366"/>
      <c r="K164" s="2366"/>
      <c r="L164" s="2366"/>
      <c r="M164" s="2366"/>
      <c r="N164" s="2367"/>
    </row>
    <row r="165" spans="1:18" s="1" customFormat="1" ht="18" customHeight="1" x14ac:dyDescent="0.2">
      <c r="A165" s="2206" t="s">
        <v>15</v>
      </c>
      <c r="B165" s="2208" t="s">
        <v>41</v>
      </c>
      <c r="C165" s="2190" t="s">
        <v>15</v>
      </c>
      <c r="D165" s="72" t="s">
        <v>68</v>
      </c>
      <c r="E165" s="158"/>
      <c r="F165" s="105"/>
      <c r="G165" s="193"/>
      <c r="H165" s="50"/>
      <c r="I165" s="278"/>
      <c r="J165" s="338"/>
      <c r="K165" s="1296"/>
      <c r="L165" s="2233"/>
      <c r="M165" s="2233"/>
      <c r="N165" s="2231"/>
    </row>
    <row r="166" spans="1:18" s="1" customFormat="1" ht="15.75" customHeight="1" x14ac:dyDescent="0.2">
      <c r="A166" s="1425"/>
      <c r="B166" s="1426"/>
      <c r="C166" s="1721"/>
      <c r="D166" s="1722" t="s">
        <v>136</v>
      </c>
      <c r="E166" s="1723"/>
      <c r="F166" s="1724">
        <v>1</v>
      </c>
      <c r="G166" s="906" t="s">
        <v>308</v>
      </c>
      <c r="H166" s="492">
        <v>300</v>
      </c>
      <c r="I166" s="279"/>
      <c r="J166" s="339"/>
      <c r="K166" s="1725" t="s">
        <v>300</v>
      </c>
      <c r="L166" s="1726">
        <v>10</v>
      </c>
      <c r="M166" s="1727"/>
      <c r="N166" s="1728"/>
      <c r="R166" s="68"/>
    </row>
    <row r="167" spans="1:18" s="1" customFormat="1" ht="15.75" customHeight="1" x14ac:dyDescent="0.2">
      <c r="A167" s="2197"/>
      <c r="B167" s="2198"/>
      <c r="C167" s="2191"/>
      <c r="D167" s="2247"/>
      <c r="E167" s="345"/>
      <c r="F167" s="58"/>
      <c r="G167" s="629" t="s">
        <v>313</v>
      </c>
      <c r="H167" s="1294">
        <v>50</v>
      </c>
      <c r="I167" s="260"/>
      <c r="J167" s="331"/>
      <c r="K167" s="1527"/>
      <c r="L167" s="1406"/>
      <c r="M167" s="76"/>
      <c r="N167" s="1295"/>
      <c r="R167" s="68"/>
    </row>
    <row r="168" spans="1:18" s="1" customFormat="1" ht="15.75" customHeight="1" x14ac:dyDescent="0.2">
      <c r="A168" s="2197"/>
      <c r="B168" s="2198"/>
      <c r="C168" s="2191"/>
      <c r="D168" s="2247"/>
      <c r="E168" s="157"/>
      <c r="F168" s="114"/>
      <c r="G168" s="370" t="s">
        <v>26</v>
      </c>
      <c r="H168" s="16">
        <f>SUM(H166:H167)</f>
        <v>350</v>
      </c>
      <c r="I168" s="232"/>
      <c r="J168" s="919"/>
      <c r="K168" s="1528"/>
      <c r="L168" s="1407"/>
      <c r="M168" s="77"/>
      <c r="N168" s="1071"/>
    </row>
    <row r="169" spans="1:18" s="1" customFormat="1" ht="21.75" customHeight="1" x14ac:dyDescent="0.2">
      <c r="A169" s="2197"/>
      <c r="B169" s="2198"/>
      <c r="C169" s="2191"/>
      <c r="D169" s="2354" t="s">
        <v>151</v>
      </c>
      <c r="E169" s="2357" t="s">
        <v>125</v>
      </c>
      <c r="F169" s="58">
        <v>5</v>
      </c>
      <c r="G169" s="369" t="s">
        <v>313</v>
      </c>
      <c r="H169" s="1534">
        <v>461.5</v>
      </c>
      <c r="I169" s="1232">
        <v>77.5</v>
      </c>
      <c r="J169" s="339"/>
      <c r="K169" s="1529" t="s">
        <v>69</v>
      </c>
      <c r="L169" s="1408">
        <v>45</v>
      </c>
      <c r="M169" s="1175">
        <v>90</v>
      </c>
      <c r="N169" s="1210">
        <v>100</v>
      </c>
      <c r="P169" s="68"/>
    </row>
    <row r="170" spans="1:18" s="1" customFormat="1" ht="21.75" customHeight="1" x14ac:dyDescent="0.2">
      <c r="A170" s="2197"/>
      <c r="B170" s="2198"/>
      <c r="C170" s="2191"/>
      <c r="D170" s="2288"/>
      <c r="E170" s="2351"/>
      <c r="F170" s="58"/>
      <c r="G170" s="17" t="s">
        <v>168</v>
      </c>
      <c r="H170" s="1534">
        <f>1806.7-1171.1</f>
        <v>635.60000000000014</v>
      </c>
      <c r="I170" s="1233">
        <v>1544.2</v>
      </c>
      <c r="J170" s="339"/>
      <c r="K170" s="2355" t="s">
        <v>282</v>
      </c>
      <c r="L170" s="1409"/>
      <c r="M170" s="1212">
        <v>1</v>
      </c>
      <c r="N170" s="1211"/>
    </row>
    <row r="171" spans="1:18" s="1" customFormat="1" ht="21.75" customHeight="1" x14ac:dyDescent="0.2">
      <c r="A171" s="2197"/>
      <c r="B171" s="2198"/>
      <c r="C171" s="2191"/>
      <c r="D171" s="2288"/>
      <c r="E171" s="2351"/>
      <c r="F171" s="1270"/>
      <c r="G171" s="1538" t="s">
        <v>180</v>
      </c>
      <c r="H171" s="1537">
        <v>88.2</v>
      </c>
      <c r="I171" s="1233"/>
      <c r="J171" s="339"/>
      <c r="K171" s="2356"/>
      <c r="L171" s="1419"/>
      <c r="M171" s="1189"/>
      <c r="N171" s="1418"/>
    </row>
    <row r="172" spans="1:18" s="1" customFormat="1" ht="21.75" customHeight="1" x14ac:dyDescent="0.2">
      <c r="A172" s="2197"/>
      <c r="B172" s="2198"/>
      <c r="C172" s="2191"/>
      <c r="D172" s="2202"/>
      <c r="E172" s="2351"/>
      <c r="F172" s="1270"/>
      <c r="G172" s="104" t="s">
        <v>164</v>
      </c>
      <c r="H172" s="1537">
        <v>5</v>
      </c>
      <c r="I172" s="1233"/>
      <c r="J172" s="331"/>
      <c r="K172" s="1536"/>
      <c r="L172" s="1419"/>
      <c r="M172" s="1189"/>
      <c r="N172" s="1418"/>
    </row>
    <row r="173" spans="1:18" s="1" customFormat="1" ht="21.75" customHeight="1" x14ac:dyDescent="0.2">
      <c r="A173" s="2197"/>
      <c r="B173" s="2198"/>
      <c r="C173" s="2191"/>
      <c r="D173" s="2202"/>
      <c r="E173" s="2358"/>
      <c r="F173" s="1270"/>
      <c r="G173" s="1538" t="s">
        <v>22</v>
      </c>
      <c r="H173" s="2109"/>
      <c r="I173" s="1575">
        <v>316</v>
      </c>
      <c r="J173" s="1137"/>
      <c r="K173" s="1536"/>
      <c r="L173" s="1419"/>
      <c r="M173" s="1189"/>
      <c r="N173" s="1418"/>
    </row>
    <row r="174" spans="1:18" s="1" customFormat="1" ht="14.25" customHeight="1" x14ac:dyDescent="0.2">
      <c r="A174" s="2197"/>
      <c r="B174" s="2198"/>
      <c r="C174" s="2191"/>
      <c r="D174" s="2202"/>
      <c r="E174" s="1269" t="s">
        <v>66</v>
      </c>
      <c r="F174" s="1270"/>
      <c r="G174" s="370" t="s">
        <v>26</v>
      </c>
      <c r="H174" s="16">
        <f>SUM(H169:H172)</f>
        <v>1190.3000000000002</v>
      </c>
      <c r="I174" s="232">
        <f>SUM(I169:I173)</f>
        <v>1937.7</v>
      </c>
      <c r="J174" s="383"/>
      <c r="K174" s="1536"/>
      <c r="L174" s="101"/>
      <c r="M174" s="77"/>
      <c r="N174" s="1066"/>
    </row>
    <row r="175" spans="1:18" s="1" customFormat="1" ht="15" customHeight="1" thickBot="1" x14ac:dyDescent="0.25">
      <c r="A175" s="2207"/>
      <c r="B175" s="2209"/>
      <c r="C175" s="2193"/>
      <c r="D175" s="2352" t="s">
        <v>34</v>
      </c>
      <c r="E175" s="2353"/>
      <c r="F175" s="2353"/>
      <c r="G175" s="2353"/>
      <c r="H175" s="1297">
        <f>H174+H168</f>
        <v>1540.3000000000002</v>
      </c>
      <c r="I175" s="1201">
        <f t="shared" ref="I175" si="8">I174+I168</f>
        <v>1937.7</v>
      </c>
      <c r="J175" s="1298"/>
      <c r="K175" s="1530"/>
      <c r="L175" s="1410"/>
      <c r="M175" s="1275"/>
      <c r="N175" s="1276"/>
    </row>
    <row r="176" spans="1:18" s="1" customFormat="1" ht="28.5" customHeight="1" x14ac:dyDescent="0.2">
      <c r="A176" s="2197" t="s">
        <v>15</v>
      </c>
      <c r="B176" s="2198" t="s">
        <v>41</v>
      </c>
      <c r="C176" s="78" t="s">
        <v>35</v>
      </c>
      <c r="D176" s="2349" t="s">
        <v>70</v>
      </c>
      <c r="E176" s="2350" t="s">
        <v>118</v>
      </c>
      <c r="F176" s="2192" t="s">
        <v>19</v>
      </c>
      <c r="G176" s="12" t="s">
        <v>46</v>
      </c>
      <c r="H176" s="52">
        <v>1096.3</v>
      </c>
      <c r="I176" s="261">
        <v>1123</v>
      </c>
      <c r="J176" s="328">
        <v>1134</v>
      </c>
      <c r="K176" s="2216"/>
      <c r="L176" s="101"/>
      <c r="M176" s="695"/>
      <c r="N176" s="1066"/>
    </row>
    <row r="177" spans="1:21" s="1" customFormat="1" ht="28.5" customHeight="1" x14ac:dyDescent="0.2">
      <c r="A177" s="2197"/>
      <c r="B177" s="2198"/>
      <c r="C177" s="78"/>
      <c r="D177" s="2349"/>
      <c r="E177" s="2351"/>
      <c r="F177" s="2192"/>
      <c r="G177" s="12" t="s">
        <v>94</v>
      </c>
      <c r="H177" s="1509">
        <v>830.5</v>
      </c>
      <c r="I177" s="1510"/>
      <c r="J177" s="1512"/>
      <c r="K177" s="2216"/>
      <c r="L177" s="101"/>
      <c r="M177" s="695"/>
      <c r="N177" s="1066"/>
    </row>
    <row r="178" spans="1:21" s="1" customFormat="1" ht="28.5" customHeight="1" x14ac:dyDescent="0.2">
      <c r="A178" s="2197"/>
      <c r="B178" s="2198"/>
      <c r="C178" s="78"/>
      <c r="D178" s="2349"/>
      <c r="E178" s="2351"/>
      <c r="F178" s="2192"/>
      <c r="G178" s="12" t="s">
        <v>37</v>
      </c>
      <c r="H178" s="318">
        <v>6.6</v>
      </c>
      <c r="I178" s="319">
        <v>6.6</v>
      </c>
      <c r="J178" s="450">
        <v>6.6</v>
      </c>
      <c r="K178" s="2216"/>
      <c r="L178" s="101"/>
      <c r="M178" s="695"/>
      <c r="N178" s="1066"/>
    </row>
    <row r="179" spans="1:21" s="1" customFormat="1" ht="21" customHeight="1" x14ac:dyDescent="0.2">
      <c r="A179" s="2197"/>
      <c r="B179" s="2198"/>
      <c r="C179" s="127"/>
      <c r="D179" s="2291" t="s">
        <v>71</v>
      </c>
      <c r="E179" s="2351"/>
      <c r="F179" s="2192"/>
      <c r="G179" s="709"/>
      <c r="H179" s="27"/>
      <c r="I179" s="238"/>
      <c r="J179" s="362"/>
      <c r="K179" s="1190" t="s">
        <v>298</v>
      </c>
      <c r="L179" s="1411">
        <v>35</v>
      </c>
      <c r="M179" s="1129">
        <v>32</v>
      </c>
      <c r="N179" s="1130">
        <v>30</v>
      </c>
      <c r="S179" s="68"/>
    </row>
    <row r="180" spans="1:21" s="1" customFormat="1" ht="21" customHeight="1" x14ac:dyDescent="0.2">
      <c r="A180" s="2197"/>
      <c r="B180" s="2198"/>
      <c r="C180" s="202"/>
      <c r="D180" s="2292"/>
      <c r="E180" s="1288"/>
      <c r="F180" s="2192"/>
      <c r="G180" s="709"/>
      <c r="H180" s="27"/>
      <c r="I180" s="238"/>
      <c r="J180" s="362"/>
      <c r="K180" s="1289"/>
      <c r="L180" s="1412"/>
      <c r="M180" s="1191"/>
      <c r="N180" s="1168"/>
      <c r="T180" s="68"/>
      <c r="U180" s="68"/>
    </row>
    <row r="181" spans="1:21" s="1" customFormat="1" ht="33.75" customHeight="1" x14ac:dyDescent="0.2">
      <c r="A181" s="2197"/>
      <c r="B181" s="2198"/>
      <c r="C181" s="78"/>
      <c r="D181" s="2291" t="s">
        <v>72</v>
      </c>
      <c r="E181" s="345"/>
      <c r="F181" s="2192"/>
      <c r="G181" s="709"/>
      <c r="H181" s="27"/>
      <c r="I181" s="238"/>
      <c r="J181" s="362"/>
      <c r="K181" s="2345" t="s">
        <v>108</v>
      </c>
      <c r="L181" s="135">
        <v>240</v>
      </c>
      <c r="M181" s="1129">
        <v>250</v>
      </c>
      <c r="N181" s="1130">
        <v>260</v>
      </c>
      <c r="S181" s="68"/>
    </row>
    <row r="182" spans="1:21" s="1" customFormat="1" ht="33.75" customHeight="1" x14ac:dyDescent="0.2">
      <c r="A182" s="2197"/>
      <c r="B182" s="2198"/>
      <c r="C182" s="78"/>
      <c r="D182" s="2292"/>
      <c r="E182" s="159"/>
      <c r="F182" s="2192"/>
      <c r="G182" s="709"/>
      <c r="H182" s="27"/>
      <c r="I182" s="238"/>
      <c r="J182" s="362"/>
      <c r="K182" s="2347"/>
      <c r="L182" s="136"/>
      <c r="M182" s="1191"/>
      <c r="N182" s="1168"/>
      <c r="S182" s="68"/>
    </row>
    <row r="183" spans="1:21" s="1" customFormat="1" ht="28.5" customHeight="1" x14ac:dyDescent="0.2">
      <c r="A183" s="2197"/>
      <c r="B183" s="2198"/>
      <c r="C183" s="78"/>
      <c r="D183" s="2291" t="s">
        <v>73</v>
      </c>
      <c r="E183" s="159"/>
      <c r="F183" s="2192"/>
      <c r="G183" s="709"/>
      <c r="H183" s="27"/>
      <c r="I183" s="238"/>
      <c r="J183" s="362"/>
      <c r="K183" s="2345" t="s">
        <v>109</v>
      </c>
      <c r="L183" s="135">
        <v>60</v>
      </c>
      <c r="M183" s="1129">
        <v>60</v>
      </c>
      <c r="N183" s="1130">
        <v>60</v>
      </c>
      <c r="P183" s="68"/>
    </row>
    <row r="184" spans="1:21" s="1" customFormat="1" ht="28.5" customHeight="1" x14ac:dyDescent="0.2">
      <c r="A184" s="2197"/>
      <c r="B184" s="2198"/>
      <c r="C184" s="78"/>
      <c r="D184" s="2292"/>
      <c r="E184" s="159"/>
      <c r="F184" s="2192"/>
      <c r="G184" s="709"/>
      <c r="H184" s="27"/>
      <c r="I184" s="238"/>
      <c r="J184" s="362"/>
      <c r="K184" s="2346"/>
      <c r="L184" s="136"/>
      <c r="M184" s="1191"/>
      <c r="N184" s="1168"/>
      <c r="P184" s="68"/>
    </row>
    <row r="185" spans="1:21" s="1" customFormat="1" ht="21" customHeight="1" x14ac:dyDescent="0.2">
      <c r="A185" s="2197"/>
      <c r="B185" s="2198"/>
      <c r="C185" s="78"/>
      <c r="D185" s="2291" t="s">
        <v>74</v>
      </c>
      <c r="E185" s="159"/>
      <c r="F185" s="2192"/>
      <c r="G185" s="709"/>
      <c r="H185" s="27"/>
      <c r="I185" s="238"/>
      <c r="J185" s="362"/>
      <c r="K185" s="2345" t="s">
        <v>75</v>
      </c>
      <c r="L185" s="135">
        <v>94</v>
      </c>
      <c r="M185" s="1129">
        <v>95</v>
      </c>
      <c r="N185" s="1130">
        <v>95</v>
      </c>
    </row>
    <row r="186" spans="1:21" s="1" customFormat="1" ht="21" customHeight="1" x14ac:dyDescent="0.2">
      <c r="A186" s="2197"/>
      <c r="B186" s="2198"/>
      <c r="C186" s="202"/>
      <c r="D186" s="2292"/>
      <c r="E186" s="159"/>
      <c r="F186" s="2192"/>
      <c r="G186" s="709"/>
      <c r="H186" s="27"/>
      <c r="I186" s="238"/>
      <c r="J186" s="362"/>
      <c r="K186" s="2346"/>
      <c r="L186" s="136"/>
      <c r="M186" s="1191"/>
      <c r="N186" s="1168"/>
    </row>
    <row r="187" spans="1:21" s="1" customFormat="1" ht="55.5" customHeight="1" x14ac:dyDescent="0.2">
      <c r="A187" s="2197"/>
      <c r="B187" s="2198"/>
      <c r="C187" s="127"/>
      <c r="D187" s="394" t="s">
        <v>76</v>
      </c>
      <c r="E187" s="345"/>
      <c r="F187" s="2192"/>
      <c r="G187" s="709"/>
      <c r="H187" s="27"/>
      <c r="I187" s="238"/>
      <c r="J187" s="362"/>
      <c r="K187" s="1031" t="s">
        <v>224</v>
      </c>
      <c r="L187" s="102">
        <v>12</v>
      </c>
      <c r="M187" s="1085">
        <v>12</v>
      </c>
      <c r="N187" s="1078">
        <v>12</v>
      </c>
    </row>
    <row r="188" spans="1:21" s="1" customFormat="1" ht="22.5" customHeight="1" x14ac:dyDescent="0.2">
      <c r="A188" s="2197"/>
      <c r="B188" s="2198"/>
      <c r="C188" s="78"/>
      <c r="D188" s="2293" t="s">
        <v>77</v>
      </c>
      <c r="E188" s="159"/>
      <c r="F188" s="2192"/>
      <c r="G188" s="709"/>
      <c r="H188" s="27"/>
      <c r="I188" s="238"/>
      <c r="J188" s="362"/>
      <c r="K188" s="2347" t="s">
        <v>78</v>
      </c>
      <c r="L188" s="136">
        <v>100</v>
      </c>
      <c r="M188" s="1191">
        <v>100</v>
      </c>
      <c r="N188" s="1168">
        <v>100</v>
      </c>
    </row>
    <row r="189" spans="1:21" s="1" customFormat="1" ht="22.5" customHeight="1" x14ac:dyDescent="0.2">
      <c r="A189" s="579"/>
      <c r="B189" s="2198"/>
      <c r="C189" s="78"/>
      <c r="D189" s="2293"/>
      <c r="E189" s="159"/>
      <c r="F189" s="2192"/>
      <c r="G189" s="709"/>
      <c r="H189" s="27"/>
      <c r="I189" s="238"/>
      <c r="J189" s="362"/>
      <c r="K189" s="2347"/>
      <c r="L189" s="136"/>
      <c r="M189" s="1191"/>
      <c r="N189" s="1168"/>
    </row>
    <row r="190" spans="1:21" s="1" customFormat="1" ht="13.5" customHeight="1" thickBot="1" x14ac:dyDescent="0.25">
      <c r="A190" s="580" t="s">
        <v>131</v>
      </c>
      <c r="B190" s="2209"/>
      <c r="C190" s="110"/>
      <c r="D190" s="2294"/>
      <c r="E190" s="160"/>
      <c r="F190" s="2194"/>
      <c r="G190" s="367" t="s">
        <v>26</v>
      </c>
      <c r="H190" s="30">
        <f>SUM(H176:H188)</f>
        <v>1933.3999999999999</v>
      </c>
      <c r="I190" s="237">
        <f t="shared" ref="I190" si="9">SUM(I176:I188)</f>
        <v>1129.5999999999999</v>
      </c>
      <c r="J190" s="347">
        <f>SUM(J176:J188)</f>
        <v>1140.5999999999999</v>
      </c>
      <c r="K190" s="2348"/>
      <c r="L190" s="373"/>
      <c r="M190" s="1192"/>
      <c r="N190" s="1193"/>
    </row>
    <row r="191" spans="1:21" s="1" customFormat="1" ht="52.5" customHeight="1" x14ac:dyDescent="0.2">
      <c r="A191" s="2206" t="s">
        <v>15</v>
      </c>
      <c r="B191" s="2208" t="s">
        <v>41</v>
      </c>
      <c r="C191" s="2210" t="s">
        <v>39</v>
      </c>
      <c r="D191" s="72" t="s">
        <v>79</v>
      </c>
      <c r="E191" s="158"/>
      <c r="F191" s="73"/>
      <c r="G191" s="193"/>
      <c r="H191" s="50"/>
      <c r="I191" s="278"/>
      <c r="J191" s="338"/>
      <c r="K191" s="192"/>
      <c r="L191" s="2233"/>
      <c r="M191" s="2230"/>
      <c r="N191" s="1072"/>
    </row>
    <row r="192" spans="1:21" s="1" customFormat="1" ht="27.75" customHeight="1" x14ac:dyDescent="0.2">
      <c r="A192" s="2197"/>
      <c r="B192" s="2198"/>
      <c r="C192" s="2211"/>
      <c r="D192" s="2330" t="s">
        <v>160</v>
      </c>
      <c r="E192" s="345"/>
      <c r="F192" s="73">
        <v>1</v>
      </c>
      <c r="G192" s="369" t="s">
        <v>37</v>
      </c>
      <c r="H192" s="70">
        <v>50</v>
      </c>
      <c r="I192" s="279"/>
      <c r="J192" s="339"/>
      <c r="K192" s="2220" t="s">
        <v>243</v>
      </c>
      <c r="L192" s="1194">
        <v>1</v>
      </c>
      <c r="M192" s="75"/>
      <c r="N192" s="1075"/>
    </row>
    <row r="193" spans="1:16" s="1" customFormat="1" ht="15" customHeight="1" thickBot="1" x14ac:dyDescent="0.25">
      <c r="A193" s="2197"/>
      <c r="B193" s="2198"/>
      <c r="C193" s="2211"/>
      <c r="D193" s="2331"/>
      <c r="E193" s="157"/>
      <c r="F193" s="114"/>
      <c r="G193" s="370" t="s">
        <v>26</v>
      </c>
      <c r="H193" s="16">
        <f>SUM(H192:H192)</f>
        <v>50</v>
      </c>
      <c r="I193" s="232">
        <f>SUM(I192:I192)</f>
        <v>0</v>
      </c>
      <c r="J193" s="383"/>
      <c r="K193" s="2240"/>
      <c r="L193" s="1410"/>
      <c r="M193" s="1195"/>
      <c r="N193" s="1196"/>
    </row>
    <row r="194" spans="1:16" s="2" customFormat="1" ht="16.5" customHeight="1" thickBot="1" x14ac:dyDescent="0.3">
      <c r="A194" s="577" t="s">
        <v>15</v>
      </c>
      <c r="B194" s="5" t="s">
        <v>41</v>
      </c>
      <c r="C194" s="2332" t="s">
        <v>43</v>
      </c>
      <c r="D194" s="2332"/>
      <c r="E194" s="2332"/>
      <c r="F194" s="2332"/>
      <c r="G194" s="2332"/>
      <c r="H194" s="85">
        <f>+H193+H190+H175</f>
        <v>3523.7</v>
      </c>
      <c r="I194" s="282">
        <f>+I193+I190+I175</f>
        <v>3067.3</v>
      </c>
      <c r="J194" s="1261">
        <f>+J193+J190+J175</f>
        <v>1140.5999999999999</v>
      </c>
      <c r="K194" s="2333"/>
      <c r="L194" s="2334"/>
      <c r="M194" s="2334"/>
      <c r="N194" s="2335"/>
    </row>
    <row r="195" spans="1:16" s="1" customFormat="1" ht="16.5" customHeight="1" thickBot="1" x14ac:dyDescent="0.25">
      <c r="A195" s="2207" t="s">
        <v>15</v>
      </c>
      <c r="B195" s="584"/>
      <c r="C195" s="2336" t="s">
        <v>80</v>
      </c>
      <c r="D195" s="2336"/>
      <c r="E195" s="2336"/>
      <c r="F195" s="2336"/>
      <c r="G195" s="2336"/>
      <c r="H195" s="590">
        <f>H194+H163+H145+H50</f>
        <v>50177.2</v>
      </c>
      <c r="I195" s="591">
        <f>I194+I163+I145+I50</f>
        <v>47425.599999999999</v>
      </c>
      <c r="J195" s="1262">
        <f>J194+J163+J145+J50</f>
        <v>45742.5</v>
      </c>
      <c r="K195" s="2337"/>
      <c r="L195" s="2338"/>
      <c r="M195" s="2338"/>
      <c r="N195" s="2339"/>
    </row>
    <row r="196" spans="1:16" s="2" customFormat="1" ht="16.5" customHeight="1" thickBot="1" x14ac:dyDescent="0.3">
      <c r="A196" s="586" t="s">
        <v>81</v>
      </c>
      <c r="B196" s="2340" t="s">
        <v>82</v>
      </c>
      <c r="C196" s="2341"/>
      <c r="D196" s="2341"/>
      <c r="E196" s="2341"/>
      <c r="F196" s="2341"/>
      <c r="G196" s="2341"/>
      <c r="H196" s="593">
        <f t="shared" ref="H196:J196" si="10">H195</f>
        <v>50177.2</v>
      </c>
      <c r="I196" s="594">
        <f t="shared" si="10"/>
        <v>47425.599999999999</v>
      </c>
      <c r="J196" s="1263">
        <f t="shared" si="10"/>
        <v>45742.5</v>
      </c>
      <c r="K196" s="2342"/>
      <c r="L196" s="2343"/>
      <c r="M196" s="2343"/>
      <c r="N196" s="2344"/>
    </row>
    <row r="197" spans="1:16" s="68" customFormat="1" ht="21.75" customHeight="1" thickBot="1" x14ac:dyDescent="0.25">
      <c r="A197" s="2317" t="s">
        <v>83</v>
      </c>
      <c r="B197" s="2317"/>
      <c r="C197" s="2317"/>
      <c r="D197" s="2317"/>
      <c r="E197" s="2317"/>
      <c r="F197" s="2317"/>
      <c r="G197" s="2317"/>
      <c r="H197" s="2317"/>
      <c r="I197" s="2317"/>
      <c r="J197" s="2317"/>
      <c r="K197" s="86"/>
      <c r="L197" s="166"/>
      <c r="M197" s="166"/>
      <c r="N197" s="166"/>
    </row>
    <row r="198" spans="1:16" s="45" customFormat="1" ht="52.5" customHeight="1" thickBot="1" x14ac:dyDescent="0.3">
      <c r="A198" s="2318" t="s">
        <v>84</v>
      </c>
      <c r="B198" s="2319"/>
      <c r="C198" s="2319"/>
      <c r="D198" s="2319"/>
      <c r="E198" s="2319"/>
      <c r="F198" s="2319"/>
      <c r="G198" s="2320"/>
      <c r="H198" s="1448" t="s">
        <v>249</v>
      </c>
      <c r="I198" s="1268" t="s">
        <v>185</v>
      </c>
      <c r="J198" s="1266" t="s">
        <v>301</v>
      </c>
      <c r="K198" s="2182"/>
      <c r="L198" s="2321"/>
      <c r="M198" s="2321"/>
      <c r="N198" s="2321"/>
      <c r="P198" s="48"/>
    </row>
    <row r="199" spans="1:16" s="2" customFormat="1" ht="15.75" customHeight="1" thickBot="1" x14ac:dyDescent="0.3">
      <c r="A199" s="2305" t="s">
        <v>85</v>
      </c>
      <c r="B199" s="2306"/>
      <c r="C199" s="2306"/>
      <c r="D199" s="2306"/>
      <c r="E199" s="2306"/>
      <c r="F199" s="2306"/>
      <c r="G199" s="2307"/>
      <c r="H199" s="588">
        <f>+H200+H207+H209+H210+H211+H208</f>
        <v>22884.000000000004</v>
      </c>
      <c r="I199" s="588">
        <f t="shared" ref="I199:J199" si="11">+I200+I207+I209+I210+I211</f>
        <v>20464.399999999998</v>
      </c>
      <c r="J199" s="1524">
        <f t="shared" si="11"/>
        <v>18778.300000000003</v>
      </c>
      <c r="K199" s="2172"/>
      <c r="L199" s="2279"/>
      <c r="M199" s="2279"/>
      <c r="N199" s="2279"/>
    </row>
    <row r="200" spans="1:16" s="2" customFormat="1" ht="15.75" customHeight="1" x14ac:dyDescent="0.25">
      <c r="A200" s="2326" t="s">
        <v>338</v>
      </c>
      <c r="B200" s="2327"/>
      <c r="C200" s="2327"/>
      <c r="D200" s="2327"/>
      <c r="E200" s="2327"/>
      <c r="F200" s="2327"/>
      <c r="G200" s="2328"/>
      <c r="H200" s="1521">
        <f>SUM(H201:H206)</f>
        <v>20145.000000000004</v>
      </c>
      <c r="I200" s="1522">
        <f t="shared" ref="I200:J200" si="12">SUM(I201:I206)</f>
        <v>20386.899999999998</v>
      </c>
      <c r="J200" s="1523">
        <f t="shared" si="12"/>
        <v>18778.300000000003</v>
      </c>
      <c r="K200" s="2172"/>
      <c r="L200" s="2172"/>
      <c r="M200" s="2172"/>
      <c r="N200" s="2172"/>
    </row>
    <row r="201" spans="1:16" s="2" customFormat="1" ht="15.75" customHeight="1" x14ac:dyDescent="0.25">
      <c r="A201" s="2322" t="s">
        <v>86</v>
      </c>
      <c r="B201" s="2323"/>
      <c r="C201" s="2323"/>
      <c r="D201" s="2323"/>
      <c r="E201" s="2323"/>
      <c r="F201" s="2323"/>
      <c r="G201" s="2324"/>
      <c r="H201" s="1294">
        <f>SUMIF(G13:G192,"sb",H13:H192)</f>
        <v>10527.800000000001</v>
      </c>
      <c r="I201" s="1126">
        <f>SUMIF(G13:G190,"sb",I13:I190)</f>
        <v>10558.8</v>
      </c>
      <c r="J201" s="1200">
        <f>SUMIF(G13:G190,"sb",J13:J190)</f>
        <v>11042.200000000003</v>
      </c>
      <c r="K201" s="2183"/>
      <c r="L201" s="2325"/>
      <c r="M201" s="2325"/>
      <c r="N201" s="2325"/>
    </row>
    <row r="202" spans="1:16" s="2" customFormat="1" ht="27.75" customHeight="1" x14ac:dyDescent="0.25">
      <c r="A202" s="2311" t="s">
        <v>309</v>
      </c>
      <c r="B202" s="2312"/>
      <c r="C202" s="2312"/>
      <c r="D202" s="2312"/>
      <c r="E202" s="2312"/>
      <c r="F202" s="2312"/>
      <c r="G202" s="2313"/>
      <c r="H202" s="307">
        <f>SUMIF(G13:G192,"sb(f)",H13:H192)</f>
        <v>300</v>
      </c>
      <c r="I202" s="285">
        <f>SUMIF(G14:G193,"sb(f)",I14:I193)</f>
        <v>0</v>
      </c>
      <c r="J202" s="833">
        <f>SUMIF(G14:G193,"sb(f)",J14:J193)</f>
        <v>0</v>
      </c>
      <c r="K202" s="2183"/>
      <c r="L202" s="2183"/>
      <c r="M202" s="2183"/>
      <c r="N202" s="2183"/>
    </row>
    <row r="203" spans="1:16" s="2" customFormat="1" ht="30" customHeight="1" x14ac:dyDescent="0.25">
      <c r="A203" s="2311" t="s">
        <v>244</v>
      </c>
      <c r="B203" s="2312"/>
      <c r="C203" s="2312"/>
      <c r="D203" s="2312"/>
      <c r="E203" s="2312"/>
      <c r="F203" s="2312"/>
      <c r="G203" s="2312"/>
      <c r="H203" s="307">
        <f>SUMIF(G13:G192,"sb(es)",H13:H192)</f>
        <v>1358.7000000000003</v>
      </c>
      <c r="I203" s="285">
        <f>SUMIF(G18:G194,"sb(es)",I18:I194)</f>
        <v>2103.5</v>
      </c>
      <c r="J203" s="833">
        <f>SUMIF(G18:G194,"sb(es)",J18:J194)</f>
        <v>91.5</v>
      </c>
      <c r="K203" s="2181"/>
      <c r="L203" s="2181"/>
      <c r="M203" s="2181"/>
      <c r="N203" s="2181"/>
    </row>
    <row r="204" spans="1:16" s="2" customFormat="1" ht="30.75" customHeight="1" x14ac:dyDescent="0.25">
      <c r="A204" s="2311" t="s">
        <v>227</v>
      </c>
      <c r="B204" s="2312"/>
      <c r="C204" s="2312"/>
      <c r="D204" s="2312"/>
      <c r="E204" s="2312"/>
      <c r="F204" s="2312"/>
      <c r="G204" s="2312"/>
      <c r="H204" s="307">
        <f>SUMIF(G13:G192,"SB(esa)",H13:H192)</f>
        <v>40.6</v>
      </c>
      <c r="I204" s="285">
        <f>SUMIF(G15:G193,"SB(esa)",I15:I193)</f>
        <v>0</v>
      </c>
      <c r="J204" s="833">
        <f>SUMIF(G15:G193,"SB(esa)",J15:J193)</f>
        <v>0</v>
      </c>
      <c r="K204" s="2181"/>
      <c r="L204" s="2181"/>
      <c r="M204" s="2181"/>
      <c r="N204" s="2181"/>
    </row>
    <row r="205" spans="1:16" s="2" customFormat="1" ht="15.75" customHeight="1" x14ac:dyDescent="0.25">
      <c r="A205" s="2295" t="s">
        <v>87</v>
      </c>
      <c r="B205" s="2296"/>
      <c r="C205" s="2296"/>
      <c r="D205" s="2296"/>
      <c r="E205" s="2296"/>
      <c r="F205" s="2296"/>
      <c r="G205" s="2297"/>
      <c r="H205" s="827">
        <f>SUMIF(G13:G192,"sb(sp)",H13:H192)</f>
        <v>1766.5</v>
      </c>
      <c r="I205" s="285">
        <f>SUMIF(G13:G190,"sb(sp)",I13:I190)</f>
        <v>1782.9</v>
      </c>
      <c r="J205" s="833">
        <f>SUMIF(G13:G190,"sb(sp)",J13:J190)</f>
        <v>1803.3</v>
      </c>
      <c r="K205" s="2183"/>
      <c r="L205" s="2301"/>
      <c r="M205" s="2301"/>
      <c r="N205" s="2301"/>
    </row>
    <row r="206" spans="1:16" s="2" customFormat="1" ht="29.25" customHeight="1" x14ac:dyDescent="0.25">
      <c r="A206" s="2295" t="s">
        <v>88</v>
      </c>
      <c r="B206" s="2296"/>
      <c r="C206" s="2296"/>
      <c r="D206" s="2296"/>
      <c r="E206" s="2296"/>
      <c r="F206" s="2296"/>
      <c r="G206" s="2297"/>
      <c r="H206" s="307">
        <f>SUMIF(G13:G192,"sb(vb)",H13:H192)</f>
        <v>6151.4000000000005</v>
      </c>
      <c r="I206" s="285">
        <f>SUMIF(G13:G190,"sb(vb)",I13:I190)</f>
        <v>5941.7</v>
      </c>
      <c r="J206" s="833">
        <f>SUMIF(G13:G190,"sb(vb)",J13:J190)</f>
        <v>5841.3</v>
      </c>
      <c r="K206" s="2181"/>
      <c r="L206" s="2301"/>
      <c r="M206" s="2301"/>
      <c r="N206" s="2301"/>
    </row>
    <row r="207" spans="1:16" s="2" customFormat="1" ht="15.75" customHeight="1" x14ac:dyDescent="0.25">
      <c r="A207" s="2308" t="s">
        <v>165</v>
      </c>
      <c r="B207" s="2309"/>
      <c r="C207" s="2309"/>
      <c r="D207" s="2309"/>
      <c r="E207" s="2309"/>
      <c r="F207" s="2309"/>
      <c r="G207" s="2310"/>
      <c r="H207" s="1506">
        <f>SUMIF(G13:G192,"sb(l)",H13:H192)</f>
        <v>926.5</v>
      </c>
      <c r="I207" s="1504">
        <f>SUMIF(G13:G192,"sb(l)",I13:I192)</f>
        <v>0</v>
      </c>
      <c r="J207" s="1507">
        <f>SUMIF(G13:G192,"sb(l)",J13:J192)</f>
        <v>0</v>
      </c>
      <c r="K207" s="2183"/>
      <c r="L207" s="2183"/>
      <c r="M207" s="2183"/>
      <c r="N207" s="2183"/>
    </row>
    <row r="208" spans="1:16" s="2" customFormat="1" ht="15.75" customHeight="1" x14ac:dyDescent="0.25">
      <c r="A208" s="2314" t="s">
        <v>342</v>
      </c>
      <c r="B208" s="2315"/>
      <c r="C208" s="2315"/>
      <c r="D208" s="2315"/>
      <c r="E208" s="2315"/>
      <c r="F208" s="2315"/>
      <c r="G208" s="2329"/>
      <c r="H208" s="1506">
        <f>SUMIF(G14:G193,"sb(spl)",H14:H193)</f>
        <v>891.4</v>
      </c>
      <c r="I208" s="1504"/>
      <c r="J208" s="1507"/>
      <c r="K208" s="2183"/>
      <c r="L208" s="2183"/>
      <c r="M208" s="2183"/>
      <c r="N208" s="2183"/>
    </row>
    <row r="209" spans="1:20" s="2" customFormat="1" ht="15.75" customHeight="1" x14ac:dyDescent="0.25">
      <c r="A209" s="2308" t="s">
        <v>336</v>
      </c>
      <c r="B209" s="2309"/>
      <c r="C209" s="2309"/>
      <c r="D209" s="2309"/>
      <c r="E209" s="2309"/>
      <c r="F209" s="2309"/>
      <c r="G209" s="2310"/>
      <c r="H209" s="1506">
        <f>SUMIF(G14:G193,"sb(vbl)",H14:H193)</f>
        <v>34.6</v>
      </c>
      <c r="I209" s="1504">
        <f>SUMIF(G14:G193,"sb(vbl)",I14:I193)</f>
        <v>0</v>
      </c>
      <c r="J209" s="1507">
        <f>SUMIF(G14:G193,"sb(vbl)",J14:J193)</f>
        <v>0</v>
      </c>
      <c r="K209" s="2181"/>
      <c r="L209" s="2181"/>
      <c r="M209" s="2181"/>
      <c r="N209" s="2181"/>
    </row>
    <row r="210" spans="1:20" s="2" customFormat="1" ht="27.75" customHeight="1" x14ac:dyDescent="0.25">
      <c r="A210" s="2314" t="s">
        <v>324</v>
      </c>
      <c r="B210" s="2315"/>
      <c r="C210" s="2315"/>
      <c r="D210" s="2315"/>
      <c r="E210" s="2315"/>
      <c r="F210" s="2315"/>
      <c r="G210" s="2316"/>
      <c r="H210" s="1506">
        <f>SUMIF(G14:G193,"sb(fl)",H14:H193)</f>
        <v>511.5</v>
      </c>
      <c r="I210" s="1504">
        <f>SUMIF(G15:G194,"sb(fl)",I15:I194)</f>
        <v>77.5</v>
      </c>
      <c r="J210" s="1507">
        <f>SUMIF(G15:G194,"sb(fl)",J15:J194)</f>
        <v>0</v>
      </c>
      <c r="K210" s="2183"/>
      <c r="L210" s="2183"/>
      <c r="M210" s="2183"/>
      <c r="N210" s="2183"/>
    </row>
    <row r="211" spans="1:20" s="2" customFormat="1" ht="29.25" customHeight="1" thickBot="1" x14ac:dyDescent="0.3">
      <c r="A211" s="2273" t="s">
        <v>337</v>
      </c>
      <c r="B211" s="2274"/>
      <c r="C211" s="2274"/>
      <c r="D211" s="2274"/>
      <c r="E211" s="2274"/>
      <c r="F211" s="2274"/>
      <c r="G211" s="2275"/>
      <c r="H211" s="1525">
        <f>SUMIF(G15:G194,"sb(esl)",H15:H194)</f>
        <v>375</v>
      </c>
      <c r="I211" s="1505">
        <f>SUMIF(G13:G192,"sb(esl)",I13:I192)</f>
        <v>0</v>
      </c>
      <c r="J211" s="1526">
        <f>SUMIF(G13:G192,"sb(esl)",J13:J192)</f>
        <v>0</v>
      </c>
      <c r="K211" s="2181"/>
      <c r="L211" s="2181"/>
      <c r="M211" s="2181"/>
      <c r="N211" s="2181"/>
    </row>
    <row r="212" spans="1:20" s="2" customFormat="1" ht="15.75" customHeight="1" thickBot="1" x14ac:dyDescent="0.3">
      <c r="A212" s="2305" t="s">
        <v>89</v>
      </c>
      <c r="B212" s="2306"/>
      <c r="C212" s="2306"/>
      <c r="D212" s="2306"/>
      <c r="E212" s="2306"/>
      <c r="F212" s="2306"/>
      <c r="G212" s="2307"/>
      <c r="H212" s="588">
        <f>SUM(H213:H215)</f>
        <v>27293.199999999997</v>
      </c>
      <c r="I212" s="595">
        <f t="shared" ref="I212:J212" si="13">SUM(I213:I215)</f>
        <v>26961.199999999997</v>
      </c>
      <c r="J212" s="832">
        <f t="shared" si="13"/>
        <v>26964.199999999997</v>
      </c>
      <c r="K212" s="2181"/>
      <c r="L212" s="2181"/>
      <c r="M212" s="2181"/>
      <c r="N212" s="2181"/>
    </row>
    <row r="213" spans="1:20" s="2" customFormat="1" ht="15.75" customHeight="1" x14ac:dyDescent="0.25">
      <c r="A213" s="2295" t="s">
        <v>145</v>
      </c>
      <c r="B213" s="2296"/>
      <c r="C213" s="2296"/>
      <c r="D213" s="2296"/>
      <c r="E213" s="2296"/>
      <c r="F213" s="2296"/>
      <c r="G213" s="2297"/>
      <c r="H213" s="828">
        <f>SUMIF(G13:G192,"es",H13:H192)</f>
        <v>103.2</v>
      </c>
      <c r="I213" s="838">
        <f>SUMIF(G13:G190,"es",I13:I190)</f>
        <v>0</v>
      </c>
      <c r="J213" s="835">
        <f>SUMIF(G13:G190,"es",J13:J190)</f>
        <v>0</v>
      </c>
      <c r="K213" s="143"/>
      <c r="L213" s="2279"/>
      <c r="M213" s="2279"/>
      <c r="N213" s="2279"/>
    </row>
    <row r="214" spans="1:20" s="2" customFormat="1" ht="15.75" customHeight="1" x14ac:dyDescent="0.25">
      <c r="A214" s="2298" t="s">
        <v>90</v>
      </c>
      <c r="B214" s="2299"/>
      <c r="C214" s="2299"/>
      <c r="D214" s="2299"/>
      <c r="E214" s="2299"/>
      <c r="F214" s="2299"/>
      <c r="G214" s="2300"/>
      <c r="H214" s="827">
        <f>SUMIF(G13:G192,"lrvb",H13:H192)</f>
        <v>27184.999999999996</v>
      </c>
      <c r="I214" s="837">
        <f>SUMIF(G13:G190,"lrvb",I13:I190)</f>
        <v>26955.199999999997</v>
      </c>
      <c r="J214" s="834">
        <f>SUMIF(G13:G190,"lrvb",J13:J190)</f>
        <v>26957.199999999997</v>
      </c>
      <c r="K214" s="87"/>
      <c r="L214" s="2301"/>
      <c r="M214" s="2301"/>
      <c r="N214" s="2301"/>
    </row>
    <row r="215" spans="1:20" s="2" customFormat="1" ht="15.75" customHeight="1" thickBot="1" x14ac:dyDescent="0.3">
      <c r="A215" s="2302" t="s">
        <v>91</v>
      </c>
      <c r="B215" s="2303"/>
      <c r="C215" s="2303"/>
      <c r="D215" s="2303"/>
      <c r="E215" s="2303"/>
      <c r="F215" s="2303"/>
      <c r="G215" s="2304"/>
      <c r="H215" s="309">
        <f>SUMIF(G13:G192,"kt",H13:H192)</f>
        <v>5</v>
      </c>
      <c r="I215" s="311">
        <f>SUMIF(G13:G190,"kt",I13:I190)</f>
        <v>6</v>
      </c>
      <c r="J215" s="836">
        <f>SUMIF(G13:G190,"kt",J13:J190)</f>
        <v>7</v>
      </c>
      <c r="K215" s="87"/>
      <c r="L215" s="2301"/>
      <c r="M215" s="2301"/>
      <c r="N215" s="2301"/>
    </row>
    <row r="216" spans="1:20" s="2" customFormat="1" ht="15.75" customHeight="1" thickBot="1" x14ac:dyDescent="0.3">
      <c r="A216" s="2276" t="s">
        <v>92</v>
      </c>
      <c r="B216" s="2277"/>
      <c r="C216" s="2277"/>
      <c r="D216" s="2277"/>
      <c r="E216" s="2277"/>
      <c r="F216" s="2277"/>
      <c r="G216" s="2278"/>
      <c r="H216" s="310">
        <f>H199+H212</f>
        <v>50177.2</v>
      </c>
      <c r="I216" s="286">
        <f>I199+I212</f>
        <v>47425.599999999991</v>
      </c>
      <c r="J216" s="1267">
        <f>J199+J212</f>
        <v>45742.5</v>
      </c>
      <c r="K216" s="142"/>
      <c r="L216" s="2279"/>
      <c r="M216" s="2279"/>
      <c r="N216" s="2279"/>
    </row>
    <row r="217" spans="1:20" x14ac:dyDescent="0.25">
      <c r="F217" s="2280" t="s">
        <v>257</v>
      </c>
      <c r="G217" s="2281"/>
      <c r="H217" s="2281"/>
      <c r="I217" s="2281"/>
      <c r="J217" s="2281"/>
    </row>
    <row r="218" spans="1:20" x14ac:dyDescent="0.25">
      <c r="H218" s="146"/>
    </row>
    <row r="219" spans="1:20" x14ac:dyDescent="0.25">
      <c r="H219" s="146"/>
    </row>
    <row r="220" spans="1:20" x14ac:dyDescent="0.25">
      <c r="H220" s="146"/>
      <c r="T220" s="1281"/>
    </row>
    <row r="221" spans="1:20" x14ac:dyDescent="0.25">
      <c r="H221" s="146"/>
      <c r="I221" s="146"/>
    </row>
    <row r="222" spans="1:20" x14ac:dyDescent="0.25">
      <c r="H222" s="146"/>
      <c r="J222" s="146"/>
    </row>
    <row r="224" spans="1:20" x14ac:dyDescent="0.25">
      <c r="H224" s="146"/>
      <c r="I224" s="146"/>
      <c r="J224" s="146"/>
    </row>
  </sheetData>
  <mergeCells count="204">
    <mergeCell ref="J1:N1"/>
    <mergeCell ref="A2:N2"/>
    <mergeCell ref="A3:N3"/>
    <mergeCell ref="A4:N4"/>
    <mergeCell ref="A5:N5"/>
    <mergeCell ref="A6:A8"/>
    <mergeCell ref="B6:B8"/>
    <mergeCell ref="C6:C8"/>
    <mergeCell ref="D6:D8"/>
    <mergeCell ref="E6:E8"/>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L24:L25"/>
    <mergeCell ref="D26:D27"/>
    <mergeCell ref="E26:E27"/>
    <mergeCell ref="K26:K27"/>
    <mergeCell ref="A28:A29"/>
    <mergeCell ref="B28:B29"/>
    <mergeCell ref="D28:D29"/>
    <mergeCell ref="E28:E29"/>
    <mergeCell ref="D22:D23"/>
    <mergeCell ref="D24:D25"/>
    <mergeCell ref="K24:K25"/>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C51:N51"/>
    <mergeCell ref="E52:E65"/>
    <mergeCell ref="D61:D62"/>
    <mergeCell ref="D63:D64"/>
    <mergeCell ref="K63:K64"/>
    <mergeCell ref="A47:A49"/>
    <mergeCell ref="B47:B49"/>
    <mergeCell ref="C47:C49"/>
    <mergeCell ref="D47:D49"/>
    <mergeCell ref="K48:K49"/>
    <mergeCell ref="C50:G50"/>
    <mergeCell ref="K50:N50"/>
    <mergeCell ref="K99:K100"/>
    <mergeCell ref="A87:A89"/>
    <mergeCell ref="B87:B89"/>
    <mergeCell ref="C87:C89"/>
    <mergeCell ref="D87:D89"/>
    <mergeCell ref="E87:E89"/>
    <mergeCell ref="F87:F89"/>
    <mergeCell ref="K72:K73"/>
    <mergeCell ref="D85:D86"/>
    <mergeCell ref="K85:K86"/>
    <mergeCell ref="D101:D102"/>
    <mergeCell ref="D106:G106"/>
    <mergeCell ref="A107:A108"/>
    <mergeCell ref="B107:B108"/>
    <mergeCell ref="C107:C108"/>
    <mergeCell ref="D107:D108"/>
    <mergeCell ref="E107:E108"/>
    <mergeCell ref="F107:F108"/>
    <mergeCell ref="D92:D94"/>
    <mergeCell ref="D95:D96"/>
    <mergeCell ref="D97:D100"/>
    <mergeCell ref="K129:K130"/>
    <mergeCell ref="A123:A124"/>
    <mergeCell ref="B123:B124"/>
    <mergeCell ref="K123:K124"/>
    <mergeCell ref="K107:K108"/>
    <mergeCell ref="D109:D110"/>
    <mergeCell ref="D118:D119"/>
    <mergeCell ref="K118:K119"/>
    <mergeCell ref="D120:D121"/>
    <mergeCell ref="E120:E123"/>
    <mergeCell ref="A133:A137"/>
    <mergeCell ref="B133:B137"/>
    <mergeCell ref="C133:C137"/>
    <mergeCell ref="D133:D137"/>
    <mergeCell ref="E133:E137"/>
    <mergeCell ref="F133:F137"/>
    <mergeCell ref="D131:D132"/>
    <mergeCell ref="F131:F132"/>
    <mergeCell ref="K138:K139"/>
    <mergeCell ref="K131:K132"/>
    <mergeCell ref="A142:A144"/>
    <mergeCell ref="B142:B144"/>
    <mergeCell ref="C142:C144"/>
    <mergeCell ref="D142:D144"/>
    <mergeCell ref="E142:E144"/>
    <mergeCell ref="F142:F144"/>
    <mergeCell ref="A138:A141"/>
    <mergeCell ref="B138:B141"/>
    <mergeCell ref="C138:C141"/>
    <mergeCell ref="D138:D141"/>
    <mergeCell ref="E138:E141"/>
    <mergeCell ref="F138:F141"/>
    <mergeCell ref="D162:G162"/>
    <mergeCell ref="K162:N162"/>
    <mergeCell ref="C163:G163"/>
    <mergeCell ref="K163:N163"/>
    <mergeCell ref="C164:N164"/>
    <mergeCell ref="D156:D157"/>
    <mergeCell ref="D148:D149"/>
    <mergeCell ref="C145:G145"/>
    <mergeCell ref="K145:N145"/>
    <mergeCell ref="C146:N146"/>
    <mergeCell ref="D150:D152"/>
    <mergeCell ref="D153:D155"/>
    <mergeCell ref="E156:E157"/>
    <mergeCell ref="D176:D178"/>
    <mergeCell ref="E176:E179"/>
    <mergeCell ref="D179:D180"/>
    <mergeCell ref="D181:D182"/>
    <mergeCell ref="K181:K182"/>
    <mergeCell ref="D175:G175"/>
    <mergeCell ref="D169:D171"/>
    <mergeCell ref="K170:K171"/>
    <mergeCell ref="E169:E173"/>
    <mergeCell ref="D192:D193"/>
    <mergeCell ref="C194:G194"/>
    <mergeCell ref="K194:N194"/>
    <mergeCell ref="C195:G195"/>
    <mergeCell ref="K195:N195"/>
    <mergeCell ref="B196:G196"/>
    <mergeCell ref="K196:N196"/>
    <mergeCell ref="D183:D184"/>
    <mergeCell ref="K183:K184"/>
    <mergeCell ref="D185:D186"/>
    <mergeCell ref="K185:K186"/>
    <mergeCell ref="D188:D190"/>
    <mergeCell ref="K188:K190"/>
    <mergeCell ref="A210:G210"/>
    <mergeCell ref="A203:G203"/>
    <mergeCell ref="A204:G204"/>
    <mergeCell ref="A197:J197"/>
    <mergeCell ref="A198:G198"/>
    <mergeCell ref="L198:N198"/>
    <mergeCell ref="A199:G199"/>
    <mergeCell ref="L199:N199"/>
    <mergeCell ref="A201:G201"/>
    <mergeCell ref="L201:N201"/>
    <mergeCell ref="A200:G200"/>
    <mergeCell ref="A209:G209"/>
    <mergeCell ref="A208:G208"/>
    <mergeCell ref="A211:G211"/>
    <mergeCell ref="A216:G216"/>
    <mergeCell ref="L216:N216"/>
    <mergeCell ref="F217:J217"/>
    <mergeCell ref="K22:K23"/>
    <mergeCell ref="E22:E23"/>
    <mergeCell ref="D72:D73"/>
    <mergeCell ref="D78:D79"/>
    <mergeCell ref="D52:D53"/>
    <mergeCell ref="D113:D114"/>
    <mergeCell ref="D123:D125"/>
    <mergeCell ref="A213:G213"/>
    <mergeCell ref="L213:N213"/>
    <mergeCell ref="A214:G214"/>
    <mergeCell ref="L214:N214"/>
    <mergeCell ref="A215:G215"/>
    <mergeCell ref="L215:N215"/>
    <mergeCell ref="A205:G205"/>
    <mergeCell ref="L205:N205"/>
    <mergeCell ref="A206:G206"/>
    <mergeCell ref="L206:N206"/>
    <mergeCell ref="A212:G212"/>
    <mergeCell ref="A207:G207"/>
    <mergeCell ref="A202:G202"/>
  </mergeCells>
  <printOptions horizontalCentered="1"/>
  <pageMargins left="0.70866141732283472" right="0.39370078740157483" top="0.39370078740157483" bottom="0.39370078740157483" header="0.31496062992125984" footer="0.31496062992125984"/>
  <pageSetup paperSize="9" scale="77" orientation="portrait" r:id="rId1"/>
  <rowBreaks count="6" manualBreakCount="6">
    <brk id="38" max="13" man="1"/>
    <brk id="71" max="13" man="1"/>
    <brk id="104" max="13" man="1"/>
    <brk id="127" max="13" man="1"/>
    <brk id="166" max="13" man="1"/>
    <brk id="196"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29"/>
  <sheetViews>
    <sheetView zoomScaleNormal="100" workbookViewId="0"/>
  </sheetViews>
  <sheetFormatPr defaultColWidth="9.140625" defaultRowHeight="15" x14ac:dyDescent="0.25"/>
  <cols>
    <col min="1" max="3" width="3.28515625" style="123" customWidth="1"/>
    <col min="4" max="4" width="25.28515625" style="121" customWidth="1"/>
    <col min="5" max="5" width="3.28515625" style="2070" customWidth="1"/>
    <col min="6" max="6" width="3.140625" style="2071" customWidth="1"/>
    <col min="7" max="7" width="8.5703125" style="121" customWidth="1"/>
    <col min="8" max="14" width="8.140625" style="123" customWidth="1"/>
    <col min="15" max="15" width="24.28515625" style="121" customWidth="1"/>
    <col min="16" max="16" width="5.85546875" style="1107" customWidth="1"/>
    <col min="17" max="17" width="6" style="1107" customWidth="1"/>
    <col min="18" max="18" width="5.85546875" style="1107" customWidth="1"/>
    <col min="19" max="19" width="27.28515625" style="1107" customWidth="1"/>
    <col min="20" max="16384" width="9.140625" style="121"/>
  </cols>
  <sheetData>
    <row r="1" spans="1:24" s="215" customFormat="1" ht="28.5" customHeight="1" x14ac:dyDescent="0.25">
      <c r="A1" s="212"/>
      <c r="B1" s="212"/>
      <c r="C1" s="212"/>
      <c r="D1" s="212"/>
      <c r="E1" s="213"/>
      <c r="F1" s="395"/>
      <c r="G1" s="214"/>
      <c r="H1" s="214"/>
      <c r="I1" s="214"/>
      <c r="J1" s="214"/>
      <c r="K1" s="399"/>
      <c r="L1" s="399"/>
      <c r="M1" s="399"/>
      <c r="N1" s="2602" t="s">
        <v>161</v>
      </c>
      <c r="O1" s="2602"/>
      <c r="P1" s="2602"/>
      <c r="Q1" s="2602"/>
      <c r="R1" s="2602"/>
      <c r="S1" s="2602"/>
    </row>
    <row r="2" spans="1:24" s="118" customFormat="1" ht="16.5" customHeight="1" x14ac:dyDescent="0.25">
      <c r="A2" s="2521" t="s">
        <v>314</v>
      </c>
      <c r="B2" s="2521"/>
      <c r="C2" s="2521"/>
      <c r="D2" s="2521"/>
      <c r="E2" s="2521"/>
      <c r="F2" s="2521"/>
      <c r="G2" s="2521"/>
      <c r="H2" s="2521"/>
      <c r="I2" s="2521"/>
      <c r="J2" s="2521"/>
      <c r="K2" s="2521"/>
      <c r="L2" s="2521"/>
      <c r="M2" s="2521"/>
      <c r="N2" s="2521"/>
      <c r="O2" s="2521"/>
      <c r="P2" s="2521"/>
      <c r="Q2" s="2521"/>
      <c r="R2" s="2521"/>
      <c r="S2" s="2521"/>
    </row>
    <row r="3" spans="1:24" s="119" customFormat="1" ht="16.5" customHeight="1" x14ac:dyDescent="0.25">
      <c r="A3" s="2522" t="s">
        <v>0</v>
      </c>
      <c r="B3" s="2522"/>
      <c r="C3" s="2522"/>
      <c r="D3" s="2522"/>
      <c r="E3" s="2522"/>
      <c r="F3" s="2522"/>
      <c r="G3" s="2522"/>
      <c r="H3" s="2522"/>
      <c r="I3" s="2522"/>
      <c r="J3" s="2522"/>
      <c r="K3" s="2522"/>
      <c r="L3" s="2522"/>
      <c r="M3" s="2522"/>
      <c r="N3" s="2522"/>
      <c r="O3" s="2522"/>
      <c r="P3" s="2522"/>
      <c r="Q3" s="2522"/>
      <c r="R3" s="2522"/>
      <c r="S3" s="2522"/>
    </row>
    <row r="4" spans="1:24" s="119" customFormat="1" ht="16.5" customHeight="1" x14ac:dyDescent="0.25">
      <c r="A4" s="2523" t="s">
        <v>1</v>
      </c>
      <c r="B4" s="2523"/>
      <c r="C4" s="2523"/>
      <c r="D4" s="2523"/>
      <c r="E4" s="2523"/>
      <c r="F4" s="2523"/>
      <c r="G4" s="2523"/>
      <c r="H4" s="2523"/>
      <c r="I4" s="2523"/>
      <c r="J4" s="2523"/>
      <c r="K4" s="2523"/>
      <c r="L4" s="2523"/>
      <c r="M4" s="2523"/>
      <c r="N4" s="2523"/>
      <c r="O4" s="2523"/>
      <c r="P4" s="2523"/>
      <c r="Q4" s="2523"/>
      <c r="R4" s="2523"/>
      <c r="S4" s="2523"/>
    </row>
    <row r="5" spans="1:24" s="2" customFormat="1" ht="21.75" customHeight="1" thickBot="1" x14ac:dyDescent="0.25">
      <c r="A5" s="2524" t="s">
        <v>2</v>
      </c>
      <c r="B5" s="2524"/>
      <c r="C5" s="2524"/>
      <c r="D5" s="2524"/>
      <c r="E5" s="2524"/>
      <c r="F5" s="2524"/>
      <c r="G5" s="2524"/>
      <c r="H5" s="2524"/>
      <c r="I5" s="2524"/>
      <c r="J5" s="2524"/>
      <c r="K5" s="2524"/>
      <c r="L5" s="2524"/>
      <c r="M5" s="2524"/>
      <c r="N5" s="2524"/>
      <c r="O5" s="2524"/>
      <c r="P5" s="2524"/>
      <c r="Q5" s="2524"/>
      <c r="R5" s="2524"/>
      <c r="S5" s="2524"/>
    </row>
    <row r="6" spans="1:24" s="3" customFormat="1" ht="18.75" customHeight="1" x14ac:dyDescent="0.25">
      <c r="A6" s="2525" t="s">
        <v>3</v>
      </c>
      <c r="B6" s="2528" t="s">
        <v>4</v>
      </c>
      <c r="C6" s="2531" t="s">
        <v>5</v>
      </c>
      <c r="D6" s="2534" t="s">
        <v>6</v>
      </c>
      <c r="E6" s="2537" t="s">
        <v>7</v>
      </c>
      <c r="F6" s="2506" t="s">
        <v>8</v>
      </c>
      <c r="G6" s="2509" t="s">
        <v>9</v>
      </c>
      <c r="H6" s="2512" t="s">
        <v>249</v>
      </c>
      <c r="I6" s="2590" t="s">
        <v>250</v>
      </c>
      <c r="J6" s="2587" t="s">
        <v>162</v>
      </c>
      <c r="K6" s="2514" t="s">
        <v>183</v>
      </c>
      <c r="L6" s="2590" t="s">
        <v>250</v>
      </c>
      <c r="M6" s="2587" t="s">
        <v>162</v>
      </c>
      <c r="N6" s="2517" t="s">
        <v>299</v>
      </c>
      <c r="O6" s="2582" t="s">
        <v>10</v>
      </c>
      <c r="P6" s="2583"/>
      <c r="Q6" s="2583"/>
      <c r="R6" s="2583"/>
      <c r="S6" s="2584" t="s">
        <v>163</v>
      </c>
    </row>
    <row r="7" spans="1:24" s="3" customFormat="1" ht="17.25" customHeight="1" x14ac:dyDescent="0.25">
      <c r="A7" s="2526"/>
      <c r="B7" s="2529"/>
      <c r="C7" s="2532"/>
      <c r="D7" s="2535"/>
      <c r="E7" s="2538"/>
      <c r="F7" s="2507"/>
      <c r="G7" s="2510"/>
      <c r="H7" s="2513"/>
      <c r="I7" s="2591"/>
      <c r="J7" s="2588"/>
      <c r="K7" s="2515"/>
      <c r="L7" s="2591"/>
      <c r="M7" s="2588"/>
      <c r="N7" s="2518"/>
      <c r="O7" s="2493" t="s">
        <v>6</v>
      </c>
      <c r="P7" s="2495" t="s">
        <v>11</v>
      </c>
      <c r="Q7" s="2496"/>
      <c r="R7" s="2496"/>
      <c r="S7" s="2585"/>
    </row>
    <row r="8" spans="1:24" s="3" customFormat="1" ht="82.5" customHeight="1" thickBot="1" x14ac:dyDescent="0.3">
      <c r="A8" s="2527"/>
      <c r="B8" s="2530"/>
      <c r="C8" s="2533"/>
      <c r="D8" s="2536"/>
      <c r="E8" s="2539"/>
      <c r="F8" s="2508"/>
      <c r="G8" s="2511"/>
      <c r="H8" s="2513"/>
      <c r="I8" s="2592"/>
      <c r="J8" s="2589"/>
      <c r="K8" s="2516"/>
      <c r="L8" s="2592"/>
      <c r="M8" s="2589"/>
      <c r="N8" s="2518"/>
      <c r="O8" s="2494"/>
      <c r="P8" s="1305" t="s">
        <v>132</v>
      </c>
      <c r="Q8" s="4" t="s">
        <v>184</v>
      </c>
      <c r="R8" s="1531" t="s">
        <v>302</v>
      </c>
      <c r="S8" s="2586"/>
    </row>
    <row r="9" spans="1:24" s="2" customFormat="1" ht="16.5" customHeight="1" x14ac:dyDescent="0.25">
      <c r="A9" s="2498" t="s">
        <v>13</v>
      </c>
      <c r="B9" s="2499"/>
      <c r="C9" s="2499"/>
      <c r="D9" s="2499"/>
      <c r="E9" s="2499"/>
      <c r="F9" s="2499"/>
      <c r="G9" s="2499"/>
      <c r="H9" s="2499"/>
      <c r="I9" s="2499"/>
      <c r="J9" s="2499"/>
      <c r="K9" s="2499"/>
      <c r="L9" s="2499"/>
      <c r="M9" s="2499"/>
      <c r="N9" s="2499"/>
      <c r="O9" s="2499"/>
      <c r="P9" s="2499"/>
      <c r="Q9" s="2499"/>
      <c r="R9" s="2499"/>
      <c r="S9" s="2500"/>
      <c r="X9" s="3"/>
    </row>
    <row r="10" spans="1:24" s="2" customFormat="1" ht="16.5" customHeight="1" x14ac:dyDescent="0.25">
      <c r="A10" s="2501" t="s">
        <v>14</v>
      </c>
      <c r="B10" s="2502"/>
      <c r="C10" s="2502"/>
      <c r="D10" s="2502"/>
      <c r="E10" s="2502"/>
      <c r="F10" s="2502"/>
      <c r="G10" s="2502"/>
      <c r="H10" s="2502"/>
      <c r="I10" s="2502"/>
      <c r="J10" s="2502"/>
      <c r="K10" s="2502"/>
      <c r="L10" s="2502"/>
      <c r="M10" s="2502"/>
      <c r="N10" s="2502"/>
      <c r="O10" s="2502"/>
      <c r="P10" s="2502"/>
      <c r="Q10" s="2502"/>
      <c r="R10" s="2502"/>
      <c r="S10" s="2503"/>
      <c r="T10" s="3"/>
    </row>
    <row r="11" spans="1:24" s="3" customFormat="1" ht="16.5" customHeight="1" x14ac:dyDescent="0.25">
      <c r="A11" s="1503" t="s">
        <v>15</v>
      </c>
      <c r="B11" s="2504" t="s">
        <v>16</v>
      </c>
      <c r="C11" s="2504"/>
      <c r="D11" s="2504"/>
      <c r="E11" s="2504"/>
      <c r="F11" s="2504"/>
      <c r="G11" s="2504"/>
      <c r="H11" s="2504"/>
      <c r="I11" s="2504"/>
      <c r="J11" s="2504"/>
      <c r="K11" s="2504"/>
      <c r="L11" s="2504"/>
      <c r="M11" s="2504"/>
      <c r="N11" s="2504"/>
      <c r="O11" s="2504"/>
      <c r="P11" s="2504"/>
      <c r="Q11" s="2504"/>
      <c r="R11" s="2504"/>
      <c r="S11" s="2505"/>
    </row>
    <row r="12" spans="1:24" s="3" customFormat="1" ht="15.75" customHeight="1" thickBot="1" x14ac:dyDescent="0.3">
      <c r="A12" s="2037" t="s">
        <v>15</v>
      </c>
      <c r="B12" s="1502" t="s">
        <v>15</v>
      </c>
      <c r="C12" s="2595" t="s">
        <v>17</v>
      </c>
      <c r="D12" s="2596"/>
      <c r="E12" s="2596"/>
      <c r="F12" s="2596"/>
      <c r="G12" s="2596"/>
      <c r="H12" s="2596"/>
      <c r="I12" s="2596"/>
      <c r="J12" s="2596"/>
      <c r="K12" s="2596"/>
      <c r="L12" s="2596"/>
      <c r="M12" s="2596"/>
      <c r="N12" s="2596"/>
      <c r="O12" s="2596"/>
      <c r="P12" s="2596"/>
      <c r="Q12" s="2596"/>
      <c r="R12" s="2596"/>
      <c r="S12" s="2597"/>
    </row>
    <row r="13" spans="1:24" s="3" customFormat="1" ht="16.5" customHeight="1" x14ac:dyDescent="0.25">
      <c r="A13" s="2036" t="s">
        <v>15</v>
      </c>
      <c r="B13" s="6" t="s">
        <v>15</v>
      </c>
      <c r="C13" s="2078" t="s">
        <v>15</v>
      </c>
      <c r="D13" s="2598" t="s">
        <v>18</v>
      </c>
      <c r="E13" s="1731"/>
      <c r="F13" s="1732" t="s">
        <v>19</v>
      </c>
      <c r="G13" s="1235" t="s">
        <v>22</v>
      </c>
      <c r="H13" s="266">
        <f>2711-401.2</f>
        <v>2309.8000000000002</v>
      </c>
      <c r="I13" s="957">
        <f>2711-401.2-65-100</f>
        <v>2144.8000000000002</v>
      </c>
      <c r="J13" s="2163">
        <f>+I13-H13</f>
        <v>-165</v>
      </c>
      <c r="K13" s="206">
        <v>3035.5</v>
      </c>
      <c r="L13" s="266">
        <v>3035.5</v>
      </c>
      <c r="M13" s="453"/>
      <c r="N13" s="489">
        <v>3032.8</v>
      </c>
      <c r="O13" s="2402" t="s">
        <v>23</v>
      </c>
      <c r="P13" s="2165">
        <v>946</v>
      </c>
      <c r="Q13" s="1277">
        <v>1000</v>
      </c>
      <c r="R13" s="1106">
        <v>1000</v>
      </c>
      <c r="S13" s="2432" t="s">
        <v>365</v>
      </c>
      <c r="T13" s="1278"/>
      <c r="U13" s="1278"/>
      <c r="V13" s="1278"/>
    </row>
    <row r="14" spans="1:24" s="3" customFormat="1" ht="16.5" customHeight="1" x14ac:dyDescent="0.25">
      <c r="A14" s="2028"/>
      <c r="B14" s="8"/>
      <c r="C14" s="2078"/>
      <c r="D14" s="2598"/>
      <c r="E14" s="1731"/>
      <c r="F14" s="1732"/>
      <c r="G14" s="1009" t="s">
        <v>164</v>
      </c>
      <c r="H14" s="1480">
        <v>324.5</v>
      </c>
      <c r="I14" s="1125">
        <v>324.5</v>
      </c>
      <c r="J14" s="1414"/>
      <c r="K14" s="1284"/>
      <c r="L14" s="1125"/>
      <c r="M14" s="1414"/>
      <c r="N14" s="1414"/>
      <c r="O14" s="2283"/>
      <c r="P14" s="2266">
        <v>1000</v>
      </c>
      <c r="Q14" s="858"/>
      <c r="R14" s="1087"/>
      <c r="S14" s="2288"/>
      <c r="T14" s="1278"/>
      <c r="U14" s="1278"/>
      <c r="V14" s="1278"/>
    </row>
    <row r="15" spans="1:24" s="3" customFormat="1" ht="20.25" customHeight="1" x14ac:dyDescent="0.25">
      <c r="A15" s="2028"/>
      <c r="B15" s="8"/>
      <c r="C15" s="2078"/>
      <c r="D15" s="2598"/>
      <c r="E15" s="1731"/>
      <c r="F15" s="1732"/>
      <c r="G15" s="1235"/>
      <c r="H15" s="1482"/>
      <c r="I15" s="259"/>
      <c r="J15" s="327"/>
      <c r="K15" s="59"/>
      <c r="L15" s="259"/>
      <c r="M15" s="327"/>
      <c r="N15" s="327"/>
      <c r="O15" s="2302" t="s">
        <v>24</v>
      </c>
      <c r="P15" s="2267">
        <v>4135</v>
      </c>
      <c r="Q15" s="1080">
        <v>4500</v>
      </c>
      <c r="R15" s="148">
        <v>4500</v>
      </c>
      <c r="S15" s="2288"/>
      <c r="T15" s="1278"/>
      <c r="U15" s="1278"/>
      <c r="V15" s="1278"/>
    </row>
    <row r="16" spans="1:24" s="3" customFormat="1" ht="20.25" customHeight="1" x14ac:dyDescent="0.25">
      <c r="A16" s="2028"/>
      <c r="B16" s="8"/>
      <c r="C16" s="2078"/>
      <c r="D16" s="2598"/>
      <c r="E16" s="1731"/>
      <c r="F16" s="1732"/>
      <c r="G16" s="1235"/>
      <c r="H16" s="1482"/>
      <c r="I16" s="259"/>
      <c r="J16" s="327"/>
      <c r="K16" s="59"/>
      <c r="L16" s="259"/>
      <c r="M16" s="327"/>
      <c r="N16" s="327"/>
      <c r="O16" s="2298"/>
      <c r="P16" s="2164">
        <v>4500</v>
      </c>
      <c r="Q16" s="858"/>
      <c r="R16" s="1087"/>
      <c r="S16" s="2288"/>
    </row>
    <row r="17" spans="1:22" s="3" customFormat="1" ht="54" customHeight="1" x14ac:dyDescent="0.25">
      <c r="A17" s="2028"/>
      <c r="B17" s="8"/>
      <c r="C17" s="2078"/>
      <c r="D17" s="2598"/>
      <c r="E17" s="1731"/>
      <c r="F17" s="1732"/>
      <c r="G17" s="1235"/>
      <c r="H17" s="1483"/>
      <c r="I17" s="1120"/>
      <c r="J17" s="1082"/>
      <c r="K17" s="1285"/>
      <c r="L17" s="1120"/>
      <c r="M17" s="1082"/>
      <c r="N17" s="1082"/>
      <c r="O17" s="1309" t="s">
        <v>25</v>
      </c>
      <c r="P17" s="1174">
        <v>90</v>
      </c>
      <c r="Q17" s="317">
        <v>90</v>
      </c>
      <c r="R17" s="1078">
        <v>90</v>
      </c>
      <c r="S17" s="2374"/>
    </row>
    <row r="18" spans="1:22" s="3" customFormat="1" ht="54.75" customHeight="1" x14ac:dyDescent="0.25">
      <c r="A18" s="2028"/>
      <c r="B18" s="8"/>
      <c r="C18" s="2078"/>
      <c r="D18" s="2331" t="s">
        <v>21</v>
      </c>
      <c r="E18" s="716"/>
      <c r="F18" s="2046"/>
      <c r="G18" s="1009" t="s">
        <v>20</v>
      </c>
      <c r="H18" s="1480">
        <f>863.4-1.5</f>
        <v>861.9</v>
      </c>
      <c r="I18" s="1125">
        <f>863.4-1.5</f>
        <v>861.9</v>
      </c>
      <c r="J18" s="1414"/>
      <c r="K18" s="1284">
        <v>879.8</v>
      </c>
      <c r="L18" s="1125">
        <v>879.8</v>
      </c>
      <c r="M18" s="1414"/>
      <c r="N18" s="1414">
        <v>883.8</v>
      </c>
      <c r="O18" s="1309" t="s">
        <v>103</v>
      </c>
      <c r="P18" s="1174">
        <v>5</v>
      </c>
      <c r="Q18" s="317">
        <v>5</v>
      </c>
      <c r="R18" s="1078">
        <v>5</v>
      </c>
      <c r="S18" s="1187"/>
    </row>
    <row r="19" spans="1:22" s="3" customFormat="1" ht="41.25" customHeight="1" x14ac:dyDescent="0.25">
      <c r="A19" s="2028"/>
      <c r="B19" s="8"/>
      <c r="C19" s="2078"/>
      <c r="D19" s="2331"/>
      <c r="E19" s="716"/>
      <c r="F19" s="2046"/>
      <c r="G19" s="709"/>
      <c r="H19" s="1482"/>
      <c r="I19" s="259"/>
      <c r="J19" s="327"/>
      <c r="K19" s="59"/>
      <c r="L19" s="259"/>
      <c r="M19" s="327"/>
      <c r="N19" s="327"/>
      <c r="O19" s="1310" t="s">
        <v>102</v>
      </c>
      <c r="P19" s="1202">
        <v>185</v>
      </c>
      <c r="Q19" s="1080">
        <v>185</v>
      </c>
      <c r="R19" s="148">
        <v>185</v>
      </c>
      <c r="S19" s="1292"/>
    </row>
    <row r="20" spans="1:22" s="3" customFormat="1" ht="36.75" customHeight="1" x14ac:dyDescent="0.25">
      <c r="A20" s="2028"/>
      <c r="B20" s="8"/>
      <c r="C20" s="2078"/>
      <c r="D20" s="2331"/>
      <c r="E20" s="716"/>
      <c r="F20" s="2046"/>
      <c r="G20" s="95"/>
      <c r="H20" s="1483"/>
      <c r="I20" s="1120"/>
      <c r="J20" s="1082"/>
      <c r="K20" s="1285"/>
      <c r="L20" s="1120"/>
      <c r="M20" s="1082"/>
      <c r="N20" s="1082"/>
      <c r="O20" s="2488" t="s">
        <v>104</v>
      </c>
      <c r="P20" s="1202">
        <v>45</v>
      </c>
      <c r="Q20" s="1080">
        <v>50</v>
      </c>
      <c r="R20" s="148">
        <v>55</v>
      </c>
      <c r="S20" s="2354"/>
    </row>
    <row r="21" spans="1:22" s="3" customFormat="1" ht="17.25" customHeight="1" x14ac:dyDescent="0.25">
      <c r="A21" s="2028"/>
      <c r="B21" s="8"/>
      <c r="C21" s="703"/>
      <c r="D21" s="2519"/>
      <c r="E21" s="716"/>
      <c r="F21" s="2046"/>
      <c r="G21" s="1236" t="s">
        <v>26</v>
      </c>
      <c r="H21" s="1484">
        <f>SUM(H13:H20)</f>
        <v>3496.2000000000003</v>
      </c>
      <c r="I21" s="233">
        <f>SUM(I13:I20)</f>
        <v>3331.2000000000003</v>
      </c>
      <c r="J21" s="1025">
        <f>SUM(J13:J20)</f>
        <v>-165</v>
      </c>
      <c r="K21" s="134">
        <f t="shared" ref="K21:N21" si="0">SUM(K13:K20)</f>
        <v>3915.3</v>
      </c>
      <c r="L21" s="233">
        <f t="shared" ref="L21:M21" si="1">SUM(L13:L20)</f>
        <v>3915.3</v>
      </c>
      <c r="M21" s="340">
        <f t="shared" si="1"/>
        <v>0</v>
      </c>
      <c r="N21" s="340">
        <f t="shared" si="0"/>
        <v>3916.6000000000004</v>
      </c>
      <c r="O21" s="2489"/>
      <c r="P21" s="111"/>
      <c r="Q21" s="1081"/>
      <c r="R21" s="145"/>
      <c r="S21" s="2374"/>
    </row>
    <row r="22" spans="1:22" s="3" customFormat="1" ht="132" customHeight="1" x14ac:dyDescent="0.25">
      <c r="A22" s="2028"/>
      <c r="B22" s="8"/>
      <c r="C22" s="2078"/>
      <c r="D22" s="2580" t="s">
        <v>27</v>
      </c>
      <c r="E22" s="2284" t="s">
        <v>119</v>
      </c>
      <c r="F22" s="2046"/>
      <c r="G22" s="12" t="s">
        <v>20</v>
      </c>
      <c r="H22" s="1465">
        <v>1959</v>
      </c>
      <c r="I22" s="980">
        <f>1959+1385.7-14.2</f>
        <v>3330.5</v>
      </c>
      <c r="J22" s="2166">
        <f>+I22-H22</f>
        <v>1371.5</v>
      </c>
      <c r="K22" s="174">
        <v>3448.9</v>
      </c>
      <c r="L22" s="228">
        <v>3448.9</v>
      </c>
      <c r="M22" s="353"/>
      <c r="N22" s="353">
        <v>3513</v>
      </c>
      <c r="O22" s="2282" t="s">
        <v>28</v>
      </c>
      <c r="P22" s="1792" t="s">
        <v>363</v>
      </c>
      <c r="Q22" s="18">
        <v>667</v>
      </c>
      <c r="R22" s="396">
        <v>667</v>
      </c>
      <c r="S22" s="2354" t="s">
        <v>366</v>
      </c>
      <c r="U22" s="1279"/>
      <c r="V22" s="1278"/>
    </row>
    <row r="23" spans="1:22" s="3" customFormat="1" ht="16.5" customHeight="1" x14ac:dyDescent="0.25">
      <c r="A23" s="2028"/>
      <c r="B23" s="8"/>
      <c r="C23" s="703"/>
      <c r="D23" s="2581"/>
      <c r="E23" s="2285"/>
      <c r="F23" s="2046"/>
      <c r="G23" s="1237" t="s">
        <v>26</v>
      </c>
      <c r="H23" s="1484">
        <f t="shared" ref="H23:N23" si="2">SUM(H22:H22)</f>
        <v>1959</v>
      </c>
      <c r="I23" s="233">
        <f t="shared" si="2"/>
        <v>3330.5</v>
      </c>
      <c r="J23" s="233">
        <f t="shared" si="2"/>
        <v>1371.5</v>
      </c>
      <c r="K23" s="134">
        <f t="shared" si="2"/>
        <v>3448.9</v>
      </c>
      <c r="L23" s="233">
        <f t="shared" si="2"/>
        <v>3448.9</v>
      </c>
      <c r="M23" s="340">
        <f t="shared" si="2"/>
        <v>0</v>
      </c>
      <c r="N23" s="340">
        <f t="shared" si="2"/>
        <v>3513</v>
      </c>
      <c r="O23" s="2283"/>
      <c r="P23" s="2026"/>
      <c r="Q23" s="1086"/>
      <c r="R23" s="1087"/>
      <c r="S23" s="2288"/>
    </row>
    <row r="24" spans="1:22" s="3" customFormat="1" ht="27.75" customHeight="1" x14ac:dyDescent="0.25">
      <c r="A24" s="2028"/>
      <c r="B24" s="8"/>
      <c r="C24" s="2078"/>
      <c r="D24" s="2469" t="s">
        <v>29</v>
      </c>
      <c r="E24" s="197"/>
      <c r="F24" s="2046"/>
      <c r="G24" s="95" t="s">
        <v>20</v>
      </c>
      <c r="H24" s="905">
        <v>768</v>
      </c>
      <c r="I24" s="234">
        <v>768</v>
      </c>
      <c r="J24" s="532"/>
      <c r="K24" s="1560">
        <v>768</v>
      </c>
      <c r="L24" s="280">
        <v>768</v>
      </c>
      <c r="M24" s="1563"/>
      <c r="N24" s="532">
        <v>768</v>
      </c>
      <c r="O24" s="2482" t="s">
        <v>30</v>
      </c>
      <c r="P24" s="2478">
        <v>51</v>
      </c>
      <c r="Q24" s="112">
        <v>51</v>
      </c>
      <c r="R24" s="145">
        <v>51</v>
      </c>
      <c r="S24" s="2288"/>
    </row>
    <row r="25" spans="1:22" s="3" customFormat="1" ht="16.5" customHeight="1" x14ac:dyDescent="0.25">
      <c r="A25" s="2028"/>
      <c r="B25" s="8"/>
      <c r="C25" s="703"/>
      <c r="D25" s="2470"/>
      <c r="E25" s="198"/>
      <c r="F25" s="2046"/>
      <c r="G25" s="1237" t="s">
        <v>26</v>
      </c>
      <c r="H25" s="1484">
        <f>+H24</f>
        <v>768</v>
      </c>
      <c r="I25" s="233">
        <f>+I24</f>
        <v>768</v>
      </c>
      <c r="J25" s="340"/>
      <c r="K25" s="134">
        <f>+K24</f>
        <v>768</v>
      </c>
      <c r="L25" s="233">
        <f>+L24</f>
        <v>768</v>
      </c>
      <c r="M25" s="340">
        <f>+M24</f>
        <v>0</v>
      </c>
      <c r="N25" s="340">
        <f>+N24</f>
        <v>768</v>
      </c>
      <c r="O25" s="2283"/>
      <c r="P25" s="2479"/>
      <c r="Q25" s="1086"/>
      <c r="R25" s="1087"/>
      <c r="S25" s="1087"/>
    </row>
    <row r="26" spans="1:22" s="3" customFormat="1" ht="34.5" customHeight="1" x14ac:dyDescent="0.25">
      <c r="A26" s="2028"/>
      <c r="B26" s="8"/>
      <c r="C26" s="2078"/>
      <c r="D26" s="2580" t="s">
        <v>31</v>
      </c>
      <c r="E26" s="2480" t="s">
        <v>114</v>
      </c>
      <c r="F26" s="2046"/>
      <c r="G26" s="95" t="s">
        <v>20</v>
      </c>
      <c r="H26" s="1016">
        <f>380.3-17.7</f>
        <v>362.6</v>
      </c>
      <c r="I26" s="987">
        <v>368.8</v>
      </c>
      <c r="J26" s="2241">
        <f>+I26-H26</f>
        <v>6.1999999999999886</v>
      </c>
      <c r="K26" s="70">
        <v>395.5</v>
      </c>
      <c r="L26" s="279">
        <v>395.5</v>
      </c>
      <c r="M26" s="339"/>
      <c r="N26" s="199">
        <v>395.5</v>
      </c>
      <c r="O26" s="2482" t="s">
        <v>32</v>
      </c>
      <c r="P26" s="1128" t="s">
        <v>343</v>
      </c>
      <c r="Q26" s="1089" t="s">
        <v>287</v>
      </c>
      <c r="R26" s="1068">
        <v>1128</v>
      </c>
      <c r="S26" s="2593" t="s">
        <v>371</v>
      </c>
    </row>
    <row r="27" spans="1:22" s="3" customFormat="1" ht="18" customHeight="1" x14ac:dyDescent="0.25">
      <c r="A27" s="2028"/>
      <c r="B27" s="8"/>
      <c r="C27" s="2078"/>
      <c r="D27" s="2580"/>
      <c r="E27" s="2481"/>
      <c r="F27" s="2046"/>
      <c r="G27" s="1237" t="s">
        <v>26</v>
      </c>
      <c r="H27" s="1466">
        <f t="shared" ref="H27:N27" si="3">+H26</f>
        <v>362.6</v>
      </c>
      <c r="I27" s="232">
        <f t="shared" si="3"/>
        <v>368.8</v>
      </c>
      <c r="J27" s="919">
        <f t="shared" si="3"/>
        <v>6.1999999999999886</v>
      </c>
      <c r="K27" s="16">
        <f t="shared" si="3"/>
        <v>395.5</v>
      </c>
      <c r="L27" s="232">
        <f t="shared" si="3"/>
        <v>395.5</v>
      </c>
      <c r="M27" s="383">
        <f t="shared" si="3"/>
        <v>0</v>
      </c>
      <c r="N27" s="383">
        <f t="shared" si="3"/>
        <v>395.5</v>
      </c>
      <c r="O27" s="2482"/>
      <c r="P27" s="1180" t="s">
        <v>189</v>
      </c>
      <c r="Q27" s="22" t="s">
        <v>189</v>
      </c>
      <c r="R27" s="94">
        <v>700</v>
      </c>
      <c r="S27" s="2594"/>
    </row>
    <row r="28" spans="1:22" s="3" customFormat="1" ht="49.5" customHeight="1" x14ac:dyDescent="0.25">
      <c r="A28" s="2406"/>
      <c r="B28" s="2407"/>
      <c r="C28" s="2051"/>
      <c r="D28" s="2579" t="s">
        <v>33</v>
      </c>
      <c r="E28" s="2483" t="s">
        <v>114</v>
      </c>
      <c r="F28" s="2032"/>
      <c r="G28" s="95" t="s">
        <v>22</v>
      </c>
      <c r="H28" s="1014">
        <v>71.099999999999994</v>
      </c>
      <c r="I28" s="955">
        <v>80.099999999999994</v>
      </c>
      <c r="J28" s="1015">
        <f>+I28-H28</f>
        <v>9</v>
      </c>
      <c r="K28" s="70">
        <v>69.3</v>
      </c>
      <c r="L28" s="279">
        <v>69.3</v>
      </c>
      <c r="M28" s="339"/>
      <c r="N28" s="339">
        <v>69.3</v>
      </c>
      <c r="O28" s="2054" t="s">
        <v>105</v>
      </c>
      <c r="P28" s="103">
        <v>1128</v>
      </c>
      <c r="Q28" s="364">
        <v>1128</v>
      </c>
      <c r="R28" s="1090">
        <v>1128</v>
      </c>
      <c r="S28" s="2291" t="s">
        <v>372</v>
      </c>
    </row>
    <row r="29" spans="1:22" s="3" customFormat="1" ht="21" customHeight="1" x14ac:dyDescent="0.25">
      <c r="A29" s="2406"/>
      <c r="B29" s="2407"/>
      <c r="C29" s="2051"/>
      <c r="D29" s="2581"/>
      <c r="E29" s="2484"/>
      <c r="F29" s="2032"/>
      <c r="G29" s="471" t="s">
        <v>26</v>
      </c>
      <c r="H29" s="1484">
        <f t="shared" ref="H29:N29" si="4">+H28</f>
        <v>71.099999999999994</v>
      </c>
      <c r="I29" s="233">
        <f t="shared" si="4"/>
        <v>80.099999999999994</v>
      </c>
      <c r="J29" s="233">
        <f t="shared" si="4"/>
        <v>9</v>
      </c>
      <c r="K29" s="134">
        <f t="shared" si="4"/>
        <v>69.3</v>
      </c>
      <c r="L29" s="233">
        <f t="shared" si="4"/>
        <v>69.3</v>
      </c>
      <c r="M29" s="340">
        <f t="shared" si="4"/>
        <v>0</v>
      </c>
      <c r="N29" s="340">
        <f t="shared" si="4"/>
        <v>69.3</v>
      </c>
      <c r="O29" s="1311"/>
      <c r="P29" s="431"/>
      <c r="Q29" s="100"/>
      <c r="R29" s="2089"/>
      <c r="S29" s="2292"/>
    </row>
    <row r="30" spans="1:22" s="2" customFormat="1" ht="21" customHeight="1" x14ac:dyDescent="0.25">
      <c r="A30" s="2406"/>
      <c r="B30" s="2407"/>
      <c r="C30" s="2051"/>
      <c r="D30" s="2469" t="s">
        <v>248</v>
      </c>
      <c r="E30" s="2471" t="s">
        <v>123</v>
      </c>
      <c r="F30" s="2388"/>
      <c r="G30" s="1238" t="s">
        <v>20</v>
      </c>
      <c r="H30" s="1320">
        <v>397.6</v>
      </c>
      <c r="I30" s="1126">
        <v>397.6</v>
      </c>
      <c r="J30" s="1200"/>
      <c r="K30" s="137">
        <v>91.6</v>
      </c>
      <c r="L30" s="262">
        <v>91.6</v>
      </c>
      <c r="M30" s="811"/>
      <c r="N30" s="811"/>
      <c r="O30" s="2547" t="s">
        <v>148</v>
      </c>
      <c r="P30" s="111">
        <v>108</v>
      </c>
      <c r="Q30" s="416">
        <v>108</v>
      </c>
      <c r="R30" s="287"/>
      <c r="S30" s="2354"/>
      <c r="V30" s="3"/>
    </row>
    <row r="31" spans="1:22" s="2" customFormat="1" ht="33" customHeight="1" x14ac:dyDescent="0.25">
      <c r="A31" s="2406"/>
      <c r="B31" s="2407"/>
      <c r="C31" s="2051"/>
      <c r="D31" s="2469"/>
      <c r="E31" s="2471"/>
      <c r="F31" s="2388"/>
      <c r="G31" s="1239" t="s">
        <v>168</v>
      </c>
      <c r="H31" s="1011">
        <v>93.1</v>
      </c>
      <c r="I31" s="321">
        <v>93.1</v>
      </c>
      <c r="J31" s="533"/>
      <c r="K31" s="29">
        <v>28.5</v>
      </c>
      <c r="L31" s="321">
        <v>28.5</v>
      </c>
      <c r="M31" s="533"/>
      <c r="N31" s="533"/>
      <c r="O31" s="2476"/>
      <c r="P31" s="111"/>
      <c r="Q31" s="416"/>
      <c r="R31" s="287"/>
      <c r="S31" s="2288"/>
    </row>
    <row r="32" spans="1:22" s="2" customFormat="1" ht="51" customHeight="1" x14ac:dyDescent="0.25">
      <c r="A32" s="2028"/>
      <c r="B32" s="2029"/>
      <c r="C32" s="2051"/>
      <c r="D32" s="2469"/>
      <c r="E32" s="2471"/>
      <c r="F32" s="2388"/>
      <c r="G32" s="1239" t="s">
        <v>180</v>
      </c>
      <c r="H32" s="1485">
        <v>207</v>
      </c>
      <c r="I32" s="280">
        <v>207</v>
      </c>
      <c r="J32" s="533"/>
      <c r="K32" s="1560"/>
      <c r="L32" s="280"/>
      <c r="M32" s="1563"/>
      <c r="N32" s="1563"/>
      <c r="O32" s="2476"/>
      <c r="P32" s="111"/>
      <c r="Q32" s="416"/>
      <c r="R32" s="287"/>
      <c r="S32" s="2288"/>
      <c r="T32" s="3"/>
    </row>
    <row r="33" spans="1:23" s="2" customFormat="1" ht="60" customHeight="1" x14ac:dyDescent="0.25">
      <c r="A33" s="2028"/>
      <c r="B33" s="2029"/>
      <c r="C33" s="2060"/>
      <c r="D33" s="2470"/>
      <c r="E33" s="2475"/>
      <c r="F33" s="2388"/>
      <c r="G33" s="1237" t="s">
        <v>26</v>
      </c>
      <c r="H33" s="16">
        <f>SUM(H30:H32)</f>
        <v>697.7</v>
      </c>
      <c r="I33" s="232">
        <f>SUM(I30:I32)</f>
        <v>697.7</v>
      </c>
      <c r="J33" s="919">
        <f>SUM(J31:J32)</f>
        <v>0</v>
      </c>
      <c r="K33" s="16">
        <f>SUM(K30:K31)</f>
        <v>120.1</v>
      </c>
      <c r="L33" s="232">
        <f>SUM(L30:L31)</f>
        <v>120.1</v>
      </c>
      <c r="M33" s="383">
        <f>SUM(M30:M31)</f>
        <v>0</v>
      </c>
      <c r="N33" s="340"/>
      <c r="O33" s="2027"/>
      <c r="P33" s="37"/>
      <c r="Q33" s="2081"/>
      <c r="R33" s="700"/>
      <c r="S33" s="2374"/>
      <c r="T33" s="3"/>
    </row>
    <row r="34" spans="1:23" s="2" customFormat="1" ht="55.5" customHeight="1" x14ac:dyDescent="0.25">
      <c r="A34" s="2028"/>
      <c r="B34" s="2029"/>
      <c r="C34" s="2051"/>
      <c r="D34" s="2580" t="s">
        <v>288</v>
      </c>
      <c r="E34" s="2471"/>
      <c r="F34" s="2388"/>
      <c r="G34" s="1238" t="s">
        <v>22</v>
      </c>
      <c r="H34" s="2085">
        <v>111.1</v>
      </c>
      <c r="I34" s="2167">
        <v>99.1</v>
      </c>
      <c r="J34" s="2168">
        <f>+I34-H34</f>
        <v>-12</v>
      </c>
      <c r="K34" s="2085">
        <v>181.5</v>
      </c>
      <c r="L34" s="2087">
        <v>181.5</v>
      </c>
      <c r="M34" s="343"/>
      <c r="N34" s="199">
        <v>181.5</v>
      </c>
      <c r="O34" s="2473" t="s">
        <v>315</v>
      </c>
      <c r="P34" s="467">
        <v>9</v>
      </c>
      <c r="Q34" s="185">
        <v>20</v>
      </c>
      <c r="R34" s="1077">
        <v>20</v>
      </c>
      <c r="S34" s="2330" t="s">
        <v>373</v>
      </c>
      <c r="T34" s="1290"/>
      <c r="U34" s="1290"/>
      <c r="V34" s="1290"/>
    </row>
    <row r="35" spans="1:23" s="2" customFormat="1" ht="15.75" customHeight="1" x14ac:dyDescent="0.25">
      <c r="A35" s="2028"/>
      <c r="B35" s="2029"/>
      <c r="C35" s="2060"/>
      <c r="D35" s="2581"/>
      <c r="E35" s="2471"/>
      <c r="F35" s="2388"/>
      <c r="G35" s="1237" t="s">
        <v>26</v>
      </c>
      <c r="H35" s="420">
        <f t="shared" ref="H35:N35" si="5">SUM(H34:H34)</f>
        <v>111.1</v>
      </c>
      <c r="I35" s="421">
        <f t="shared" si="5"/>
        <v>99.1</v>
      </c>
      <c r="J35" s="421">
        <f t="shared" si="5"/>
        <v>-12</v>
      </c>
      <c r="K35" s="420">
        <f t="shared" si="5"/>
        <v>181.5</v>
      </c>
      <c r="L35" s="421">
        <f t="shared" si="5"/>
        <v>181.5</v>
      </c>
      <c r="M35" s="534">
        <f t="shared" si="5"/>
        <v>0</v>
      </c>
      <c r="N35" s="534">
        <f t="shared" si="5"/>
        <v>181.5</v>
      </c>
      <c r="O35" s="2477"/>
      <c r="P35" s="423"/>
      <c r="Q35" s="1099"/>
      <c r="R35" s="1101"/>
      <c r="S35" s="2519"/>
      <c r="W35" s="3"/>
    </row>
    <row r="36" spans="1:23" s="2" customFormat="1" ht="36" customHeight="1" x14ac:dyDescent="0.25">
      <c r="A36" s="2028"/>
      <c r="B36" s="2029"/>
      <c r="C36" s="2051"/>
      <c r="D36" s="2579" t="s">
        <v>177</v>
      </c>
      <c r="E36" s="2471"/>
      <c r="F36" s="2388"/>
      <c r="G36" s="1008" t="s">
        <v>37</v>
      </c>
      <c r="H36" s="2085">
        <v>157.4</v>
      </c>
      <c r="I36" s="2167">
        <v>109.1</v>
      </c>
      <c r="J36" s="2168">
        <f>+I36-H36</f>
        <v>-48.300000000000011</v>
      </c>
      <c r="K36" s="2085"/>
      <c r="L36" s="2087"/>
      <c r="M36" s="343"/>
      <c r="N36" s="343"/>
      <c r="O36" s="2473" t="s">
        <v>178</v>
      </c>
      <c r="P36" s="1098">
        <v>30</v>
      </c>
      <c r="Q36" s="467"/>
      <c r="R36" s="419"/>
      <c r="S36" s="2330" t="s">
        <v>364</v>
      </c>
    </row>
    <row r="37" spans="1:23" s="2" customFormat="1" ht="17.25" customHeight="1" x14ac:dyDescent="0.25">
      <c r="A37" s="2028"/>
      <c r="B37" s="2029"/>
      <c r="C37" s="2051"/>
      <c r="D37" s="2580"/>
      <c r="E37" s="2471"/>
      <c r="F37" s="2388"/>
      <c r="G37" s="1236" t="s">
        <v>26</v>
      </c>
      <c r="H37" s="334">
        <f t="shared" ref="H37:N37" si="6">SUM(H36:H36)</f>
        <v>157.4</v>
      </c>
      <c r="I37" s="335">
        <f t="shared" si="6"/>
        <v>109.1</v>
      </c>
      <c r="J37" s="335">
        <f t="shared" si="6"/>
        <v>-48.300000000000011</v>
      </c>
      <c r="K37" s="334">
        <f t="shared" si="6"/>
        <v>0</v>
      </c>
      <c r="L37" s="335">
        <f t="shared" si="6"/>
        <v>0</v>
      </c>
      <c r="M37" s="350">
        <f t="shared" si="6"/>
        <v>0</v>
      </c>
      <c r="N37" s="350">
        <f t="shared" si="6"/>
        <v>0</v>
      </c>
      <c r="O37" s="2474"/>
      <c r="P37" s="425"/>
      <c r="Q37" s="1100"/>
      <c r="R37" s="426"/>
      <c r="S37" s="2519"/>
    </row>
    <row r="38" spans="1:23" s="2" customFormat="1" ht="64.5" customHeight="1" x14ac:dyDescent="0.25">
      <c r="A38" s="2028"/>
      <c r="B38" s="2029"/>
      <c r="C38" s="2060"/>
      <c r="D38" s="1031" t="s">
        <v>191</v>
      </c>
      <c r="E38" s="1280"/>
      <c r="F38" s="536"/>
      <c r="G38" s="1240"/>
      <c r="H38" s="427"/>
      <c r="I38" s="596"/>
      <c r="J38" s="813"/>
      <c r="K38" s="427"/>
      <c r="L38" s="596"/>
      <c r="M38" s="813"/>
      <c r="N38" s="813"/>
      <c r="O38" s="1341" t="s">
        <v>192</v>
      </c>
      <c r="P38" s="1433">
        <v>2500</v>
      </c>
      <c r="Q38" s="1434">
        <v>2500</v>
      </c>
      <c r="R38" s="1148">
        <v>2500</v>
      </c>
      <c r="S38" s="1148"/>
    </row>
    <row r="39" spans="1:23" s="2" customFormat="1" ht="53.25" customHeight="1" x14ac:dyDescent="0.25">
      <c r="A39" s="2028"/>
      <c r="B39" s="2029"/>
      <c r="C39" s="2051"/>
      <c r="D39" s="2288" t="s">
        <v>228</v>
      </c>
      <c r="E39" s="208"/>
      <c r="F39" s="536"/>
      <c r="G39" s="1423"/>
      <c r="H39" s="570"/>
      <c r="I39" s="571"/>
      <c r="J39" s="812"/>
      <c r="K39" s="570"/>
      <c r="L39" s="571"/>
      <c r="M39" s="812"/>
      <c r="N39" s="812"/>
      <c r="O39" s="1424" t="s">
        <v>192</v>
      </c>
      <c r="P39" s="425">
        <v>2500</v>
      </c>
      <c r="Q39" s="1100">
        <v>2500</v>
      </c>
      <c r="R39" s="426">
        <v>2500</v>
      </c>
      <c r="S39" s="426"/>
    </row>
    <row r="40" spans="1:23" s="2" customFormat="1" ht="17.25" customHeight="1" thickBot="1" x14ac:dyDescent="0.3">
      <c r="A40" s="2037"/>
      <c r="B40" s="2039"/>
      <c r="C40" s="2077"/>
      <c r="D40" s="2433"/>
      <c r="E40" s="2352" t="s">
        <v>34</v>
      </c>
      <c r="F40" s="2353"/>
      <c r="G40" s="2353"/>
      <c r="H40" s="30">
        <f t="shared" ref="H40:N40" si="7">H33+H29+H27+H25+H23+H21+H35+H37</f>
        <v>7623.1</v>
      </c>
      <c r="I40" s="237">
        <f t="shared" si="7"/>
        <v>8784.5000000000018</v>
      </c>
      <c r="J40" s="381">
        <f t="shared" si="7"/>
        <v>1161.4000000000001</v>
      </c>
      <c r="K40" s="30">
        <f t="shared" si="7"/>
        <v>8898.6</v>
      </c>
      <c r="L40" s="237">
        <f t="shared" si="7"/>
        <v>8898.6</v>
      </c>
      <c r="M40" s="347">
        <f t="shared" si="7"/>
        <v>0</v>
      </c>
      <c r="N40" s="347">
        <f t="shared" si="7"/>
        <v>8843.9000000000015</v>
      </c>
      <c r="O40" s="1312"/>
      <c r="P40" s="35"/>
      <c r="Q40" s="372"/>
      <c r="R40" s="201"/>
      <c r="S40" s="201"/>
      <c r="T40" s="3"/>
    </row>
    <row r="41" spans="1:23" s="3" customFormat="1" ht="64.5" customHeight="1" x14ac:dyDescent="0.25">
      <c r="A41" s="2406" t="s">
        <v>15</v>
      </c>
      <c r="B41" s="2407" t="s">
        <v>15</v>
      </c>
      <c r="C41" s="2463" t="s">
        <v>35</v>
      </c>
      <c r="D41" s="2288" t="s">
        <v>36</v>
      </c>
      <c r="E41" s="2465"/>
      <c r="F41" s="2467" t="s">
        <v>19</v>
      </c>
      <c r="G41" s="709" t="s">
        <v>37</v>
      </c>
      <c r="H41" s="1415">
        <v>8767.5</v>
      </c>
      <c r="I41" s="1453">
        <v>8767.5</v>
      </c>
      <c r="J41" s="1417"/>
      <c r="K41" s="1561">
        <v>8767.5</v>
      </c>
      <c r="L41" s="1416">
        <v>8767.5</v>
      </c>
      <c r="M41" s="1565"/>
      <c r="N41" s="1417">
        <v>8767.5</v>
      </c>
      <c r="O41" s="1313" t="s">
        <v>316</v>
      </c>
      <c r="P41" s="111">
        <v>4300</v>
      </c>
      <c r="Q41" s="112">
        <v>4300</v>
      </c>
      <c r="R41" s="145">
        <v>4300</v>
      </c>
      <c r="S41" s="145"/>
    </row>
    <row r="42" spans="1:23" s="3" customFormat="1" ht="16.5" customHeight="1" thickBot="1" x14ac:dyDescent="0.3">
      <c r="A42" s="2450"/>
      <c r="B42" s="2452"/>
      <c r="C42" s="2464"/>
      <c r="D42" s="2433"/>
      <c r="E42" s="2466"/>
      <c r="F42" s="2468"/>
      <c r="G42" s="367" t="s">
        <v>26</v>
      </c>
      <c r="H42" s="30">
        <f>+H41</f>
        <v>8767.5</v>
      </c>
      <c r="I42" s="237">
        <f>+I41</f>
        <v>8767.5</v>
      </c>
      <c r="J42" s="347"/>
      <c r="K42" s="30">
        <f>+K41</f>
        <v>8767.5</v>
      </c>
      <c r="L42" s="237">
        <f>+L41</f>
        <v>8767.5</v>
      </c>
      <c r="M42" s="347">
        <f>+M41</f>
        <v>0</v>
      </c>
      <c r="N42" s="347">
        <f>+N41</f>
        <v>8767.5</v>
      </c>
      <c r="O42" s="1314"/>
      <c r="P42" s="177"/>
      <c r="Q42" s="373"/>
      <c r="R42" s="692"/>
      <c r="S42" s="692"/>
    </row>
    <row r="43" spans="1:23" s="3" customFormat="1" ht="21.75" customHeight="1" x14ac:dyDescent="0.25">
      <c r="A43" s="2036" t="s">
        <v>15</v>
      </c>
      <c r="B43" s="6" t="s">
        <v>15</v>
      </c>
      <c r="C43" s="171" t="s">
        <v>39</v>
      </c>
      <c r="D43" s="2432" t="s">
        <v>40</v>
      </c>
      <c r="E43" s="196"/>
      <c r="F43" s="105" t="s">
        <v>19</v>
      </c>
      <c r="G43" s="196" t="s">
        <v>37</v>
      </c>
      <c r="H43" s="1421">
        <v>17720.599999999999</v>
      </c>
      <c r="I43" s="1454">
        <v>17720.599999999999</v>
      </c>
      <c r="J43" s="1422"/>
      <c r="K43" s="1562">
        <v>17720.599999999999</v>
      </c>
      <c r="L43" s="1420">
        <v>17720.599999999999</v>
      </c>
      <c r="M43" s="1566"/>
      <c r="N43" s="1422">
        <v>17720.599999999999</v>
      </c>
      <c r="O43" s="2461" t="s">
        <v>316</v>
      </c>
      <c r="P43" s="1306">
        <v>32000</v>
      </c>
      <c r="Q43" s="1105">
        <v>32000</v>
      </c>
      <c r="R43" s="1106">
        <v>32000</v>
      </c>
      <c r="S43" s="1106"/>
    </row>
    <row r="44" spans="1:23" s="3" customFormat="1" ht="16.5" customHeight="1" thickBot="1" x14ac:dyDescent="0.3">
      <c r="A44" s="2037"/>
      <c r="B44" s="34"/>
      <c r="C44" s="2044"/>
      <c r="D44" s="2433"/>
      <c r="E44" s="35"/>
      <c r="F44" s="2047"/>
      <c r="G44" s="367" t="s">
        <v>26</v>
      </c>
      <c r="H44" s="30">
        <f>+H43</f>
        <v>17720.599999999999</v>
      </c>
      <c r="I44" s="237">
        <f>+I43</f>
        <v>17720.599999999999</v>
      </c>
      <c r="J44" s="347"/>
      <c r="K44" s="30">
        <f>+K43</f>
        <v>17720.599999999999</v>
      </c>
      <c r="L44" s="237">
        <f>+L43</f>
        <v>17720.599999999999</v>
      </c>
      <c r="M44" s="347">
        <f>+M43</f>
        <v>0</v>
      </c>
      <c r="N44" s="347">
        <f>+N43</f>
        <v>17720.599999999999</v>
      </c>
      <c r="O44" s="2462"/>
      <c r="P44" s="1102"/>
      <c r="Q44" s="1103"/>
      <c r="R44" s="1104"/>
      <c r="S44" s="1104"/>
    </row>
    <row r="45" spans="1:23" s="2" customFormat="1" ht="81.75" customHeight="1" x14ac:dyDescent="0.25">
      <c r="A45" s="2449" t="s">
        <v>15</v>
      </c>
      <c r="B45" s="2451" t="s">
        <v>15</v>
      </c>
      <c r="C45" s="2453" t="s">
        <v>41</v>
      </c>
      <c r="D45" s="2577" t="s">
        <v>170</v>
      </c>
      <c r="E45" s="196"/>
      <c r="F45" s="2055" t="s">
        <v>19</v>
      </c>
      <c r="G45" s="1241" t="s">
        <v>22</v>
      </c>
      <c r="H45" s="1317">
        <f>600-100</f>
        <v>500</v>
      </c>
      <c r="I45" s="2242">
        <v>600</v>
      </c>
      <c r="J45" s="2243">
        <f>+I45-H45</f>
        <v>100</v>
      </c>
      <c r="K45" s="1317">
        <f>790-40-250</f>
        <v>500</v>
      </c>
      <c r="L45" s="1271">
        <f>790-40-250</f>
        <v>500</v>
      </c>
      <c r="M45" s="1272"/>
      <c r="N45" s="1272">
        <f>790-40-250</f>
        <v>500</v>
      </c>
      <c r="O45" s="2402" t="s">
        <v>171</v>
      </c>
      <c r="P45" s="2165" t="s">
        <v>374</v>
      </c>
      <c r="Q45" s="1105">
        <v>450</v>
      </c>
      <c r="R45" s="1106">
        <v>450</v>
      </c>
      <c r="S45" s="2432" t="s">
        <v>375</v>
      </c>
      <c r="T45" s="1532"/>
    </row>
    <row r="46" spans="1:23" s="3" customFormat="1" ht="16.5" customHeight="1" thickBot="1" x14ac:dyDescent="0.3">
      <c r="A46" s="2450"/>
      <c r="B46" s="2452"/>
      <c r="C46" s="2455"/>
      <c r="D46" s="2578"/>
      <c r="E46" s="35"/>
      <c r="F46" s="2047"/>
      <c r="G46" s="367" t="s">
        <v>26</v>
      </c>
      <c r="H46" s="30">
        <f t="shared" ref="H46:N46" si="8">+H45</f>
        <v>500</v>
      </c>
      <c r="I46" s="237">
        <f t="shared" si="8"/>
        <v>600</v>
      </c>
      <c r="J46" s="237">
        <f t="shared" si="8"/>
        <v>100</v>
      </c>
      <c r="K46" s="30">
        <f t="shared" si="8"/>
        <v>500</v>
      </c>
      <c r="L46" s="237">
        <f t="shared" si="8"/>
        <v>500</v>
      </c>
      <c r="M46" s="347">
        <f t="shared" si="8"/>
        <v>0</v>
      </c>
      <c r="N46" s="347">
        <f t="shared" si="8"/>
        <v>500</v>
      </c>
      <c r="O46" s="2403"/>
      <c r="P46" s="1307"/>
      <c r="Q46" s="1110"/>
      <c r="R46" s="1111"/>
      <c r="S46" s="2433"/>
    </row>
    <row r="47" spans="1:23" s="2" customFormat="1" ht="29.25" customHeight="1" x14ac:dyDescent="0.25">
      <c r="A47" s="2449" t="s">
        <v>15</v>
      </c>
      <c r="B47" s="2451" t="s">
        <v>15</v>
      </c>
      <c r="C47" s="2453" t="s">
        <v>42</v>
      </c>
      <c r="D47" s="2432" t="s">
        <v>219</v>
      </c>
      <c r="E47" s="196"/>
      <c r="F47" s="2055" t="s">
        <v>19</v>
      </c>
      <c r="G47" s="1241" t="s">
        <v>20</v>
      </c>
      <c r="H47" s="163">
        <v>210.6</v>
      </c>
      <c r="I47" s="269">
        <v>210.6</v>
      </c>
      <c r="J47" s="164"/>
      <c r="K47" s="163">
        <v>219</v>
      </c>
      <c r="L47" s="269">
        <v>219</v>
      </c>
      <c r="M47" s="164"/>
      <c r="N47" s="164">
        <v>219</v>
      </c>
      <c r="O47" s="1315" t="s">
        <v>217</v>
      </c>
      <c r="P47" s="1112">
        <v>200</v>
      </c>
      <c r="Q47" s="1113">
        <v>200</v>
      </c>
      <c r="R47" s="1114">
        <v>200</v>
      </c>
      <c r="S47" s="1114"/>
      <c r="T47" s="3"/>
    </row>
    <row r="48" spans="1:23" s="2" customFormat="1" ht="24" customHeight="1" x14ac:dyDescent="0.25">
      <c r="A48" s="2406"/>
      <c r="B48" s="2407"/>
      <c r="C48" s="2454"/>
      <c r="D48" s="2288"/>
      <c r="E48" s="37"/>
      <c r="F48" s="69"/>
      <c r="G48" s="1242"/>
      <c r="H48" s="59"/>
      <c r="I48" s="259"/>
      <c r="J48" s="327"/>
      <c r="K48" s="59"/>
      <c r="L48" s="259"/>
      <c r="M48" s="327"/>
      <c r="N48" s="327"/>
      <c r="O48" s="2456" t="s">
        <v>218</v>
      </c>
      <c r="P48" s="1115">
        <v>50</v>
      </c>
      <c r="Q48" s="1116">
        <v>50</v>
      </c>
      <c r="R48" s="1117">
        <v>50</v>
      </c>
      <c r="S48" s="1117"/>
    </row>
    <row r="49" spans="1:21" s="3" customFormat="1" ht="16.5" customHeight="1" thickBot="1" x14ac:dyDescent="0.3">
      <c r="A49" s="2450"/>
      <c r="B49" s="2452"/>
      <c r="C49" s="2455"/>
      <c r="D49" s="2433"/>
      <c r="E49" s="35"/>
      <c r="F49" s="2047"/>
      <c r="G49" s="367" t="s">
        <v>26</v>
      </c>
      <c r="H49" s="30">
        <f>+H47</f>
        <v>210.6</v>
      </c>
      <c r="I49" s="237">
        <f>+I47</f>
        <v>210.6</v>
      </c>
      <c r="J49" s="347"/>
      <c r="K49" s="30">
        <f>+K47</f>
        <v>219</v>
      </c>
      <c r="L49" s="237">
        <f>+L47</f>
        <v>219</v>
      </c>
      <c r="M49" s="347">
        <f>+M47</f>
        <v>0</v>
      </c>
      <c r="N49" s="347">
        <f>+N47</f>
        <v>219</v>
      </c>
      <c r="O49" s="2457"/>
      <c r="P49" s="1108"/>
      <c r="Q49" s="1118"/>
      <c r="R49" s="1119"/>
      <c r="S49" s="1119"/>
    </row>
    <row r="50" spans="1:21" s="2" customFormat="1" ht="16.5" customHeight="1" thickBot="1" x14ac:dyDescent="0.3">
      <c r="A50" s="577" t="s">
        <v>15</v>
      </c>
      <c r="B50" s="5" t="s">
        <v>15</v>
      </c>
      <c r="C50" s="2458" t="s">
        <v>43</v>
      </c>
      <c r="D50" s="2459"/>
      <c r="E50" s="2459"/>
      <c r="F50" s="2459"/>
      <c r="G50" s="2460"/>
      <c r="H50" s="1318">
        <f>H46+H44+H42+H40+H49</f>
        <v>34821.799999999996</v>
      </c>
      <c r="I50" s="1091">
        <f>I46+I44+I42+I40+I49</f>
        <v>36083.199999999997</v>
      </c>
      <c r="J50" s="1091">
        <f>J46+J44+J42+J40+J49</f>
        <v>1261.4000000000001</v>
      </c>
      <c r="K50" s="1318">
        <f t="shared" ref="K50:N50" si="9">K46+K44+K42+K40+K49</f>
        <v>36105.699999999997</v>
      </c>
      <c r="L50" s="1091">
        <f t="shared" ref="L50:M50" si="10">L46+L44+L42+L40+L49</f>
        <v>36105.699999999997</v>
      </c>
      <c r="M50" s="1564">
        <f t="shared" si="10"/>
        <v>0</v>
      </c>
      <c r="N50" s="1564">
        <f t="shared" si="9"/>
        <v>36051</v>
      </c>
      <c r="O50" s="2333"/>
      <c r="P50" s="2334"/>
      <c r="Q50" s="2334"/>
      <c r="R50" s="2334"/>
      <c r="S50" s="2335"/>
    </row>
    <row r="51" spans="1:21" s="2" customFormat="1" ht="16.5" customHeight="1" thickBot="1" x14ac:dyDescent="0.3">
      <c r="A51" s="578" t="s">
        <v>15</v>
      </c>
      <c r="B51" s="5" t="s">
        <v>35</v>
      </c>
      <c r="C51" s="2366" t="s">
        <v>44</v>
      </c>
      <c r="D51" s="2366"/>
      <c r="E51" s="2366"/>
      <c r="F51" s="2366"/>
      <c r="G51" s="2442"/>
      <c r="H51" s="2442"/>
      <c r="I51" s="2442"/>
      <c r="J51" s="2442"/>
      <c r="K51" s="2442"/>
      <c r="L51" s="2442"/>
      <c r="M51" s="2442"/>
      <c r="N51" s="2442"/>
      <c r="O51" s="2366"/>
      <c r="P51" s="2366"/>
      <c r="Q51" s="2366"/>
      <c r="R51" s="2366"/>
      <c r="S51" s="2367"/>
    </row>
    <row r="52" spans="1:21" s="3" customFormat="1" ht="15" customHeight="1" x14ac:dyDescent="0.25">
      <c r="A52" s="2036" t="s">
        <v>15</v>
      </c>
      <c r="B52" s="2038" t="s">
        <v>35</v>
      </c>
      <c r="C52" s="2079" t="s">
        <v>15</v>
      </c>
      <c r="D52" s="2289" t="s">
        <v>45</v>
      </c>
      <c r="E52" s="2443" t="s">
        <v>120</v>
      </c>
      <c r="F52" s="403">
        <v>3</v>
      </c>
      <c r="G52" s="1632" t="s">
        <v>22</v>
      </c>
      <c r="H52" s="1733">
        <f>5176.5+2.6+216.7</f>
        <v>5395.8</v>
      </c>
      <c r="I52" s="227">
        <f>5176.5+2.6+216.7+8.1+7.5-15.6</f>
        <v>5395.8</v>
      </c>
      <c r="J52" s="325">
        <f>+I52-H52</f>
        <v>0</v>
      </c>
      <c r="K52" s="44">
        <v>4822.2</v>
      </c>
      <c r="L52" s="227">
        <v>4822.2</v>
      </c>
      <c r="M52" s="298"/>
      <c r="N52" s="1609">
        <v>4746.3</v>
      </c>
      <c r="O52" s="1332"/>
      <c r="P52" s="374"/>
      <c r="Q52" s="1139"/>
      <c r="R52" s="386"/>
      <c r="S52" s="2445"/>
    </row>
    <row r="53" spans="1:21" s="3" customFormat="1" ht="15" customHeight="1" x14ac:dyDescent="0.25">
      <c r="A53" s="2028"/>
      <c r="B53" s="2029"/>
      <c r="C53" s="178"/>
      <c r="D53" s="2290"/>
      <c r="E53" s="2444"/>
      <c r="F53" s="289"/>
      <c r="G53" s="1633" t="s">
        <v>46</v>
      </c>
      <c r="H53" s="180">
        <v>646.9</v>
      </c>
      <c r="I53" s="2244">
        <f>646.9+22.4+0.9</f>
        <v>670.19999999999993</v>
      </c>
      <c r="J53" s="2245">
        <f>+I53-H53</f>
        <v>23.299999999999955</v>
      </c>
      <c r="K53" s="180">
        <v>659.9</v>
      </c>
      <c r="L53" s="256">
        <v>659.9</v>
      </c>
      <c r="M53" s="323"/>
      <c r="N53" s="1610">
        <v>669.3</v>
      </c>
      <c r="O53" s="1333"/>
      <c r="P53" s="366"/>
      <c r="Q53" s="1140"/>
      <c r="R53" s="469"/>
      <c r="S53" s="2331"/>
    </row>
    <row r="54" spans="1:21" s="3" customFormat="1" ht="15" customHeight="1" x14ac:dyDescent="0.25">
      <c r="A54" s="2028"/>
      <c r="B54" s="2029"/>
      <c r="C54" s="178"/>
      <c r="D54" s="2072"/>
      <c r="E54" s="2444"/>
      <c r="F54" s="289"/>
      <c r="G54" s="1633" t="s">
        <v>94</v>
      </c>
      <c r="H54" s="1467">
        <v>60.9</v>
      </c>
      <c r="I54" s="256">
        <v>60.9</v>
      </c>
      <c r="J54" s="330"/>
      <c r="K54" s="180"/>
      <c r="L54" s="256"/>
      <c r="M54" s="323"/>
      <c r="N54" s="1610"/>
      <c r="O54" s="1333"/>
      <c r="P54" s="366"/>
      <c r="Q54" s="1140"/>
      <c r="R54" s="469"/>
      <c r="S54" s="2331"/>
    </row>
    <row r="55" spans="1:21" s="3" customFormat="1" ht="15" customHeight="1" x14ac:dyDescent="0.25">
      <c r="A55" s="2028"/>
      <c r="B55" s="2029"/>
      <c r="C55" s="178"/>
      <c r="D55" s="2072"/>
      <c r="E55" s="2444"/>
      <c r="F55" s="289"/>
      <c r="G55" s="1008" t="s">
        <v>20</v>
      </c>
      <c r="H55" s="1468">
        <v>122.1</v>
      </c>
      <c r="I55" s="257">
        <v>122.1</v>
      </c>
      <c r="J55" s="326"/>
      <c r="K55" s="807">
        <v>62</v>
      </c>
      <c r="L55" s="257">
        <v>62</v>
      </c>
      <c r="M55" s="242"/>
      <c r="N55" s="1611">
        <v>62</v>
      </c>
      <c r="O55" s="1333"/>
      <c r="P55" s="366"/>
      <c r="Q55" s="1140"/>
      <c r="R55" s="469"/>
      <c r="S55" s="2331"/>
    </row>
    <row r="56" spans="1:21" s="3" customFormat="1" ht="15" customHeight="1" x14ac:dyDescent="0.25">
      <c r="A56" s="2028"/>
      <c r="B56" s="2029"/>
      <c r="C56" s="178"/>
      <c r="D56" s="2072"/>
      <c r="E56" s="2444"/>
      <c r="F56" s="289"/>
      <c r="G56" s="1230" t="s">
        <v>169</v>
      </c>
      <c r="H56" s="1467">
        <v>40.6</v>
      </c>
      <c r="I56" s="256">
        <v>40.6</v>
      </c>
      <c r="J56" s="330"/>
      <c r="K56" s="180">
        <f>SUMIF(G61:G105,"sb(esa)",K61:K105)</f>
        <v>0</v>
      </c>
      <c r="L56" s="256">
        <f>SUMIF(G61:G105,"sb(esa)",L61:L105)</f>
        <v>0</v>
      </c>
      <c r="M56" s="323"/>
      <c r="N56" s="1610">
        <f>SUMIF(G61:G105,"sb(esa)",N61:N105)</f>
        <v>0</v>
      </c>
      <c r="O56" s="1333"/>
      <c r="P56" s="366"/>
      <c r="Q56" s="1140"/>
      <c r="R56" s="469"/>
      <c r="S56" s="2331"/>
    </row>
    <row r="57" spans="1:21" s="3" customFormat="1" ht="15" customHeight="1" x14ac:dyDescent="0.25">
      <c r="A57" s="2028"/>
      <c r="B57" s="2029"/>
      <c r="C57" s="178"/>
      <c r="D57" s="2072"/>
      <c r="E57" s="2444"/>
      <c r="F57" s="289"/>
      <c r="G57" s="1008" t="s">
        <v>168</v>
      </c>
      <c r="H57" s="1468">
        <f>108.5-31</f>
        <v>77.5</v>
      </c>
      <c r="I57" s="257">
        <f>108.5-31</f>
        <v>77.5</v>
      </c>
      <c r="J57" s="326"/>
      <c r="K57" s="807">
        <v>91.5</v>
      </c>
      <c r="L57" s="257">
        <v>91.5</v>
      </c>
      <c r="M57" s="242"/>
      <c r="N57" s="1611">
        <v>91.5</v>
      </c>
      <c r="O57" s="1333"/>
      <c r="P57" s="366"/>
      <c r="Q57" s="1140"/>
      <c r="R57" s="469"/>
      <c r="S57" s="2331"/>
    </row>
    <row r="58" spans="1:21" s="3" customFormat="1" ht="15" customHeight="1" x14ac:dyDescent="0.25">
      <c r="A58" s="2028"/>
      <c r="B58" s="2029"/>
      <c r="C58" s="178"/>
      <c r="D58" s="2072"/>
      <c r="E58" s="2444"/>
      <c r="F58" s="289"/>
      <c r="G58" s="1008" t="s">
        <v>63</v>
      </c>
      <c r="H58" s="1467">
        <f>72.2+31</f>
        <v>103.2</v>
      </c>
      <c r="I58" s="256">
        <f>72.2+31</f>
        <v>103.2</v>
      </c>
      <c r="J58" s="330"/>
      <c r="K58" s="180">
        <f>SUMIF(G61:G105,"es",K61:K105)</f>
        <v>0</v>
      </c>
      <c r="L58" s="256">
        <f>SUMIF(G61:G105,"es",L61:L105)</f>
        <v>0</v>
      </c>
      <c r="M58" s="323"/>
      <c r="N58" s="1610">
        <f>SUMIF(G61:G105,"es",N61:N105)</f>
        <v>0</v>
      </c>
      <c r="O58" s="1333"/>
      <c r="P58" s="366"/>
      <c r="Q58" s="1140"/>
      <c r="R58" s="469"/>
      <c r="S58" s="2331"/>
    </row>
    <row r="59" spans="1:21" s="3" customFormat="1" ht="15" customHeight="1" x14ac:dyDescent="0.25">
      <c r="A59" s="2028"/>
      <c r="B59" s="2029"/>
      <c r="C59" s="178"/>
      <c r="D59" s="2072"/>
      <c r="E59" s="2444"/>
      <c r="F59" s="289"/>
      <c r="G59" s="1008" t="s">
        <v>47</v>
      </c>
      <c r="H59" s="1468">
        <v>5</v>
      </c>
      <c r="I59" s="257">
        <v>5</v>
      </c>
      <c r="J59" s="326"/>
      <c r="K59" s="807">
        <v>6</v>
      </c>
      <c r="L59" s="257">
        <v>6</v>
      </c>
      <c r="M59" s="242"/>
      <c r="N59" s="1611">
        <v>7</v>
      </c>
      <c r="O59" s="1333"/>
      <c r="P59" s="366"/>
      <c r="Q59" s="1140"/>
      <c r="R59" s="469"/>
      <c r="S59" s="2331"/>
    </row>
    <row r="60" spans="1:21" s="3" customFormat="1" ht="39.75" customHeight="1" thickBot="1" x14ac:dyDescent="0.3">
      <c r="A60" s="2028"/>
      <c r="B60" s="2029"/>
      <c r="C60" s="178"/>
      <c r="D60" s="2072"/>
      <c r="E60" s="2444"/>
      <c r="F60" s="289"/>
      <c r="G60" s="1239" t="s">
        <v>37</v>
      </c>
      <c r="H60" s="1469">
        <v>152</v>
      </c>
      <c r="I60" s="258">
        <v>152</v>
      </c>
      <c r="J60" s="738"/>
      <c r="K60" s="808">
        <v>108.6</v>
      </c>
      <c r="L60" s="258">
        <v>108.6</v>
      </c>
      <c r="M60" s="243"/>
      <c r="N60" s="1612">
        <v>110.6</v>
      </c>
      <c r="O60" s="1333"/>
      <c r="P60" s="366"/>
      <c r="Q60" s="1140"/>
      <c r="R60" s="469"/>
      <c r="S60" s="2575"/>
    </row>
    <row r="61" spans="1:21" s="3" customFormat="1" ht="18" customHeight="1" x14ac:dyDescent="0.25">
      <c r="A61" s="2028"/>
      <c r="B61" s="2029"/>
      <c r="C61" s="2051"/>
      <c r="D61" s="2445" t="s">
        <v>320</v>
      </c>
      <c r="E61" s="2444"/>
      <c r="F61" s="289"/>
      <c r="G61" s="1634"/>
      <c r="H61" s="1319"/>
      <c r="I61" s="260"/>
      <c r="J61" s="331"/>
      <c r="K61" s="144"/>
      <c r="L61" s="260"/>
      <c r="M61" s="245"/>
      <c r="N61" s="1607"/>
      <c r="O61" s="1369" t="s">
        <v>93</v>
      </c>
      <c r="P61" s="1370">
        <v>82</v>
      </c>
      <c r="Q61" s="1371">
        <v>82</v>
      </c>
      <c r="R61" s="1372">
        <v>82</v>
      </c>
      <c r="S61" s="2541"/>
      <c r="T61" s="245"/>
      <c r="U61" s="245"/>
    </row>
    <row r="62" spans="1:21" s="3" customFormat="1" ht="18" customHeight="1" x14ac:dyDescent="0.25">
      <c r="A62" s="2028"/>
      <c r="B62" s="2029"/>
      <c r="C62" s="2051"/>
      <c r="D62" s="2331"/>
      <c r="E62" s="2444"/>
      <c r="F62" s="289"/>
      <c r="G62" s="1634"/>
      <c r="H62" s="1319"/>
      <c r="I62" s="260"/>
      <c r="J62" s="331"/>
      <c r="K62" s="144"/>
      <c r="L62" s="260"/>
      <c r="M62" s="245"/>
      <c r="N62" s="1607"/>
      <c r="O62" s="2057" t="s">
        <v>289</v>
      </c>
      <c r="P62" s="2026">
        <v>1</v>
      </c>
      <c r="Q62" s="2081"/>
      <c r="R62" s="700"/>
      <c r="S62" s="2292"/>
    </row>
    <row r="63" spans="1:21" s="3" customFormat="1" ht="30" customHeight="1" x14ac:dyDescent="0.25">
      <c r="A63" s="2028"/>
      <c r="B63" s="2029"/>
      <c r="C63" s="2051"/>
      <c r="D63" s="2286" t="s">
        <v>175</v>
      </c>
      <c r="E63" s="2444"/>
      <c r="F63" s="289"/>
      <c r="G63" s="1634"/>
      <c r="H63" s="1319"/>
      <c r="I63" s="260"/>
      <c r="J63" s="331"/>
      <c r="K63" s="144"/>
      <c r="L63" s="260"/>
      <c r="M63" s="245"/>
      <c r="N63" s="1607"/>
      <c r="O63" s="2447" t="s">
        <v>181</v>
      </c>
      <c r="P63" s="548">
        <v>60</v>
      </c>
      <c r="Q63" s="1142"/>
      <c r="R63" s="396"/>
      <c r="S63" s="430"/>
    </row>
    <row r="64" spans="1:21" s="3" customFormat="1" ht="36.75" customHeight="1" thickBot="1" x14ac:dyDescent="0.3">
      <c r="A64" s="2028"/>
      <c r="B64" s="2029"/>
      <c r="C64" s="2051"/>
      <c r="D64" s="2446"/>
      <c r="E64" s="2444"/>
      <c r="F64" s="289"/>
      <c r="G64" s="1634"/>
      <c r="H64" s="1319"/>
      <c r="I64" s="260"/>
      <c r="J64" s="331"/>
      <c r="K64" s="144"/>
      <c r="L64" s="260"/>
      <c r="M64" s="245"/>
      <c r="N64" s="1607"/>
      <c r="O64" s="2448"/>
      <c r="P64" s="1274"/>
      <c r="Q64" s="1373"/>
      <c r="R64" s="1374"/>
      <c r="S64" s="1497"/>
    </row>
    <row r="65" spans="1:40" s="3" customFormat="1" ht="29.25" customHeight="1" thickBot="1" x14ac:dyDescent="0.3">
      <c r="A65" s="2028"/>
      <c r="B65" s="2029"/>
      <c r="C65" s="2051"/>
      <c r="D65" s="2246" t="s">
        <v>319</v>
      </c>
      <c r="E65" s="2444"/>
      <c r="F65" s="289"/>
      <c r="G65" s="1634"/>
      <c r="H65" s="1319"/>
      <c r="I65" s="260"/>
      <c r="J65" s="331"/>
      <c r="K65" s="144"/>
      <c r="L65" s="260"/>
      <c r="M65" s="245"/>
      <c r="N65" s="1607"/>
      <c r="O65" s="1334" t="s">
        <v>317</v>
      </c>
      <c r="P65" s="1325">
        <v>160</v>
      </c>
      <c r="Q65" s="1367">
        <v>160</v>
      </c>
      <c r="R65" s="1368">
        <v>160</v>
      </c>
      <c r="S65" s="2599" t="s">
        <v>376</v>
      </c>
      <c r="AA65" s="2565"/>
      <c r="AB65" s="2566"/>
      <c r="AC65" s="2566"/>
      <c r="AD65" s="2566"/>
      <c r="AE65" s="2566"/>
      <c r="AF65" s="2566"/>
      <c r="AG65" s="2566"/>
      <c r="AH65" s="2566"/>
      <c r="AI65" s="2566"/>
      <c r="AJ65" s="2566"/>
      <c r="AK65" s="2566"/>
      <c r="AL65" s="2566"/>
      <c r="AM65" s="2566"/>
      <c r="AN65" s="2567"/>
    </row>
    <row r="66" spans="1:40" s="3" customFormat="1" ht="55.5" customHeight="1" x14ac:dyDescent="0.25">
      <c r="A66" s="2028"/>
      <c r="B66" s="2029"/>
      <c r="C66" s="2051"/>
      <c r="D66" s="2024"/>
      <c r="E66" s="1360"/>
      <c r="F66" s="289"/>
      <c r="G66" s="1634"/>
      <c r="H66" s="1319"/>
      <c r="I66" s="260"/>
      <c r="J66" s="331"/>
      <c r="K66" s="144"/>
      <c r="L66" s="260"/>
      <c r="M66" s="245"/>
      <c r="N66" s="1607"/>
      <c r="O66" s="1335" t="s">
        <v>325</v>
      </c>
      <c r="P66" s="1326" t="s">
        <v>290</v>
      </c>
      <c r="Q66" s="1123" t="s">
        <v>290</v>
      </c>
      <c r="R66" s="762" t="s">
        <v>290</v>
      </c>
      <c r="S66" s="2600"/>
    </row>
    <row r="67" spans="1:40" s="3" customFormat="1" ht="30" customHeight="1" x14ac:dyDescent="0.25">
      <c r="A67" s="2028"/>
      <c r="B67" s="2029"/>
      <c r="C67" s="2051"/>
      <c r="D67" s="2024"/>
      <c r="E67" s="1360"/>
      <c r="F67" s="289"/>
      <c r="G67" s="1634"/>
      <c r="H67" s="1319"/>
      <c r="I67" s="260"/>
      <c r="J67" s="331"/>
      <c r="K67" s="144"/>
      <c r="L67" s="260"/>
      <c r="M67" s="245"/>
      <c r="N67" s="1607"/>
      <c r="O67" s="1336" t="s">
        <v>194</v>
      </c>
      <c r="P67" s="1327">
        <v>280</v>
      </c>
      <c r="Q67" s="1063">
        <v>300</v>
      </c>
      <c r="R67" s="1148">
        <v>320</v>
      </c>
      <c r="S67" s="2601"/>
    </row>
    <row r="68" spans="1:40" s="3" customFormat="1" ht="37.5" customHeight="1" x14ac:dyDescent="0.25">
      <c r="A68" s="2028"/>
      <c r="B68" s="2029"/>
      <c r="C68" s="2051"/>
      <c r="D68" s="2024"/>
      <c r="E68" s="1360"/>
      <c r="F68" s="289"/>
      <c r="G68" s="1634"/>
      <c r="H68" s="1319"/>
      <c r="I68" s="260"/>
      <c r="J68" s="331"/>
      <c r="K68" s="144"/>
      <c r="L68" s="260"/>
      <c r="M68" s="245"/>
      <c r="N68" s="1607"/>
      <c r="O68" s="2049" t="s">
        <v>326</v>
      </c>
      <c r="P68" s="1353" t="s">
        <v>193</v>
      </c>
      <c r="Q68" s="1354" t="s">
        <v>193</v>
      </c>
      <c r="R68" s="1355" t="s">
        <v>193</v>
      </c>
      <c r="S68" s="1355"/>
    </row>
    <row r="69" spans="1:40" s="3" customFormat="1" ht="55.5" customHeight="1" x14ac:dyDescent="0.25">
      <c r="A69" s="2028"/>
      <c r="B69" s="2029"/>
      <c r="C69" s="2051"/>
      <c r="D69" s="2048" t="s">
        <v>167</v>
      </c>
      <c r="E69" s="1360"/>
      <c r="F69" s="289"/>
      <c r="G69" s="1634"/>
      <c r="H69" s="1319"/>
      <c r="I69" s="260"/>
      <c r="J69" s="331"/>
      <c r="K69" s="144"/>
      <c r="L69" s="260"/>
      <c r="M69" s="245"/>
      <c r="N69" s="1607"/>
      <c r="O69" s="1336" t="s">
        <v>327</v>
      </c>
      <c r="P69" s="1356">
        <v>0.5</v>
      </c>
      <c r="Q69" s="1357">
        <v>0.5</v>
      </c>
      <c r="R69" s="1358">
        <v>0.5</v>
      </c>
      <c r="S69" s="1358"/>
    </row>
    <row r="70" spans="1:40" s="3" customFormat="1" ht="43.5" customHeight="1" x14ac:dyDescent="0.25">
      <c r="A70" s="2028"/>
      <c r="B70" s="2029"/>
      <c r="C70" s="2051"/>
      <c r="D70" s="2024"/>
      <c r="E70" s="1360"/>
      <c r="F70" s="289"/>
      <c r="G70" s="1247"/>
      <c r="H70" s="1320"/>
      <c r="I70" s="1126"/>
      <c r="J70" s="1200"/>
      <c r="K70" s="1294"/>
      <c r="L70" s="1126"/>
      <c r="M70" s="1352"/>
      <c r="N70" s="1580"/>
      <c r="O70" s="1375" t="s">
        <v>146</v>
      </c>
      <c r="P70" s="1124" t="s">
        <v>101</v>
      </c>
      <c r="Q70" s="1376">
        <v>20</v>
      </c>
      <c r="R70" s="1377">
        <v>20</v>
      </c>
      <c r="S70" s="1377"/>
    </row>
    <row r="71" spans="1:40" s="3" customFormat="1" ht="42" customHeight="1" x14ac:dyDescent="0.25">
      <c r="A71" s="2028"/>
      <c r="B71" s="2029"/>
      <c r="C71" s="2051"/>
      <c r="D71" s="2048" t="s">
        <v>318</v>
      </c>
      <c r="E71" s="1360"/>
      <c r="F71" s="289"/>
      <c r="G71" s="1634"/>
      <c r="H71" s="1320"/>
      <c r="I71" s="1126"/>
      <c r="J71" s="1200"/>
      <c r="K71" s="1294"/>
      <c r="L71" s="1126"/>
      <c r="M71" s="1352"/>
      <c r="N71" s="1580"/>
      <c r="O71" s="1337" t="s">
        <v>146</v>
      </c>
      <c r="P71" s="1061" t="s">
        <v>19</v>
      </c>
      <c r="Q71" s="1064"/>
      <c r="R71" s="387"/>
      <c r="S71" s="387"/>
    </row>
    <row r="72" spans="1:40" s="3" customFormat="1" ht="21" customHeight="1" x14ac:dyDescent="0.25">
      <c r="A72" s="2028"/>
      <c r="B72" s="2029"/>
      <c r="C72" s="2051"/>
      <c r="D72" s="2286" t="s">
        <v>198</v>
      </c>
      <c r="E72" s="1360"/>
      <c r="F72" s="289"/>
      <c r="G72" s="1247"/>
      <c r="H72" s="1320"/>
      <c r="I72" s="1126"/>
      <c r="J72" s="1200"/>
      <c r="K72" s="1294"/>
      <c r="L72" s="1126"/>
      <c r="M72" s="1352"/>
      <c r="N72" s="1580"/>
      <c r="O72" s="2355" t="s">
        <v>199</v>
      </c>
      <c r="P72" s="1127" t="s">
        <v>19</v>
      </c>
      <c r="Q72" s="1065"/>
      <c r="R72" s="474"/>
      <c r="S72" s="474"/>
    </row>
    <row r="73" spans="1:40" s="3" customFormat="1" ht="21" customHeight="1" x14ac:dyDescent="0.25">
      <c r="A73" s="2028"/>
      <c r="B73" s="2029"/>
      <c r="C73" s="2060"/>
      <c r="D73" s="2286"/>
      <c r="E73" s="161"/>
      <c r="F73" s="289"/>
      <c r="G73" s="1247"/>
      <c r="H73" s="1320"/>
      <c r="I73" s="1126"/>
      <c r="J73" s="1200"/>
      <c r="K73" s="1294"/>
      <c r="L73" s="1126"/>
      <c r="M73" s="1352"/>
      <c r="N73" s="1580"/>
      <c r="O73" s="2441"/>
      <c r="P73" s="1124"/>
      <c r="Q73" s="1228"/>
      <c r="R73" s="314"/>
      <c r="S73" s="314"/>
    </row>
    <row r="74" spans="1:40" s="3" customFormat="1" ht="41.25" customHeight="1" x14ac:dyDescent="0.25">
      <c r="A74" s="2028"/>
      <c r="B74" s="2029"/>
      <c r="C74" s="2051"/>
      <c r="D74" s="188" t="s">
        <v>153</v>
      </c>
      <c r="E74" s="1360"/>
      <c r="F74" s="289"/>
      <c r="G74" s="1634"/>
      <c r="H74" s="1319"/>
      <c r="I74" s="260"/>
      <c r="J74" s="331"/>
      <c r="K74" s="144"/>
      <c r="L74" s="260"/>
      <c r="M74" s="245"/>
      <c r="N74" s="1607"/>
      <c r="O74" s="1491" t="s">
        <v>203</v>
      </c>
      <c r="P74" s="1128" t="s">
        <v>200</v>
      </c>
      <c r="Q74" s="1143">
        <v>70</v>
      </c>
      <c r="R74" s="1149">
        <v>70</v>
      </c>
      <c r="S74" s="1149"/>
    </row>
    <row r="75" spans="1:40" s="3" customFormat="1" ht="28.5" customHeight="1" x14ac:dyDescent="0.25">
      <c r="A75" s="2028"/>
      <c r="B75" s="2029"/>
      <c r="C75" s="2051"/>
      <c r="D75" s="188"/>
      <c r="E75" s="1360"/>
      <c r="F75" s="289"/>
      <c r="G75" s="1634"/>
      <c r="H75" s="1319"/>
      <c r="I75" s="260"/>
      <c r="J75" s="331"/>
      <c r="K75" s="144"/>
      <c r="L75" s="260"/>
      <c r="M75" s="245"/>
      <c r="N75" s="1607"/>
      <c r="O75" s="1491" t="s">
        <v>204</v>
      </c>
      <c r="P75" s="1128" t="s">
        <v>201</v>
      </c>
      <c r="Q75" s="1143">
        <v>42</v>
      </c>
      <c r="R75" s="1149">
        <v>42</v>
      </c>
      <c r="S75" s="1149"/>
    </row>
    <row r="76" spans="1:40" s="3" customFormat="1" ht="41.25" customHeight="1" x14ac:dyDescent="0.25">
      <c r="A76" s="2028"/>
      <c r="B76" s="2029"/>
      <c r="C76" s="2051"/>
      <c r="D76" s="188"/>
      <c r="E76" s="1360"/>
      <c r="F76" s="289"/>
      <c r="G76" s="1634"/>
      <c r="H76" s="1319"/>
      <c r="I76" s="260"/>
      <c r="J76" s="331"/>
      <c r="K76" s="144"/>
      <c r="L76" s="260"/>
      <c r="M76" s="245"/>
      <c r="N76" s="1607"/>
      <c r="O76" s="1338" t="s">
        <v>205</v>
      </c>
      <c r="P76" s="1131" t="s">
        <v>202</v>
      </c>
      <c r="Q76" s="1144">
        <v>63</v>
      </c>
      <c r="R76" s="1150">
        <v>63</v>
      </c>
      <c r="S76" s="1150"/>
    </row>
    <row r="77" spans="1:40" s="3" customFormat="1" ht="16.5" customHeight="1" thickBot="1" x14ac:dyDescent="0.3">
      <c r="A77" s="2028"/>
      <c r="B77" s="2029"/>
      <c r="C77" s="2051"/>
      <c r="D77" s="1308"/>
      <c r="E77" s="1360"/>
      <c r="F77" s="289"/>
      <c r="G77" s="1634"/>
      <c r="H77" s="1635"/>
      <c r="I77" s="1456"/>
      <c r="J77" s="1636"/>
      <c r="K77" s="144"/>
      <c r="L77" s="260"/>
      <c r="M77" s="245"/>
      <c r="N77" s="1607"/>
      <c r="O77" s="1378" t="s">
        <v>292</v>
      </c>
      <c r="P77" s="1379"/>
      <c r="Q77" s="1380" t="s">
        <v>291</v>
      </c>
      <c r="R77" s="1381"/>
      <c r="S77" s="1498"/>
    </row>
    <row r="78" spans="1:40" s="3" customFormat="1" ht="17.25" customHeight="1" x14ac:dyDescent="0.25">
      <c r="A78" s="2028"/>
      <c r="B78" s="2029"/>
      <c r="C78" s="2051"/>
      <c r="D78" s="2288" t="s">
        <v>48</v>
      </c>
      <c r="E78" s="1360"/>
      <c r="F78" s="2052"/>
      <c r="G78" s="1634"/>
      <c r="H78" s="1319"/>
      <c r="I78" s="260"/>
      <c r="J78" s="331"/>
      <c r="K78" s="144"/>
      <c r="L78" s="260"/>
      <c r="M78" s="245"/>
      <c r="N78" s="1607"/>
      <c r="O78" s="1313" t="s">
        <v>207</v>
      </c>
      <c r="P78" s="1132" t="s">
        <v>206</v>
      </c>
      <c r="Q78" s="1145">
        <v>14000</v>
      </c>
      <c r="R78" s="1151">
        <v>14000</v>
      </c>
      <c r="S78" s="1151"/>
      <c r="T78" s="245"/>
    </row>
    <row r="79" spans="1:40" s="3" customFormat="1" ht="29.25" customHeight="1" x14ac:dyDescent="0.25">
      <c r="A79" s="2028"/>
      <c r="B79" s="2029"/>
      <c r="C79" s="2051"/>
      <c r="D79" s="2288"/>
      <c r="F79" s="1364"/>
      <c r="G79" s="1303"/>
      <c r="H79" s="1637"/>
      <c r="I79" s="1457"/>
      <c r="J79" s="1638"/>
      <c r="K79" s="137"/>
      <c r="L79" s="262"/>
      <c r="M79" s="247"/>
      <c r="N79" s="1613"/>
      <c r="O79" s="1341" t="s">
        <v>306</v>
      </c>
      <c r="P79" s="1097">
        <v>5</v>
      </c>
      <c r="Q79" s="102"/>
      <c r="R79" s="1490"/>
      <c r="S79" s="1490"/>
    </row>
    <row r="80" spans="1:40" s="3" customFormat="1" ht="30.75" customHeight="1" x14ac:dyDescent="0.25">
      <c r="A80" s="2028"/>
      <c r="B80" s="2029"/>
      <c r="C80" s="2051"/>
      <c r="D80" s="1361"/>
      <c r="F80" s="1364"/>
      <c r="G80" s="1303"/>
      <c r="H80" s="1637"/>
      <c r="I80" s="1457"/>
      <c r="J80" s="1638"/>
      <c r="K80" s="1567"/>
      <c r="L80" s="1362"/>
      <c r="M80" s="1548"/>
      <c r="N80" s="1614"/>
      <c r="O80" s="1341" t="s">
        <v>328</v>
      </c>
      <c r="P80" s="1097">
        <v>30</v>
      </c>
      <c r="Q80" s="1083"/>
      <c r="R80" s="1489"/>
      <c r="S80" s="1489"/>
    </row>
    <row r="81" spans="1:23" s="3" customFormat="1" ht="29.25" customHeight="1" x14ac:dyDescent="0.25">
      <c r="A81" s="2028"/>
      <c r="B81" s="2029"/>
      <c r="C81" s="2051"/>
      <c r="D81" s="2056"/>
      <c r="E81" s="1360"/>
      <c r="F81" s="2052"/>
      <c r="G81" s="964"/>
      <c r="H81" s="1639"/>
      <c r="I81" s="1458"/>
      <c r="J81" s="1640"/>
      <c r="K81" s="1294"/>
      <c r="L81" s="1126"/>
      <c r="M81" s="1352"/>
      <c r="N81" s="1580"/>
      <c r="O81" s="1340" t="s">
        <v>208</v>
      </c>
      <c r="P81" s="1134">
        <v>12</v>
      </c>
      <c r="Q81" s="1146">
        <v>12</v>
      </c>
      <c r="R81" s="1079">
        <v>12</v>
      </c>
      <c r="S81" s="1079"/>
    </row>
    <row r="82" spans="1:23" s="3" customFormat="1" ht="42" customHeight="1" x14ac:dyDescent="0.25">
      <c r="A82" s="2028"/>
      <c r="B82" s="2029"/>
      <c r="C82" s="2051"/>
      <c r="D82" s="2056"/>
      <c r="E82" s="1360"/>
      <c r="F82" s="2052"/>
      <c r="G82" s="964"/>
      <c r="H82" s="1639"/>
      <c r="I82" s="1458"/>
      <c r="J82" s="1640"/>
      <c r="K82" s="1294"/>
      <c r="L82" s="1126"/>
      <c r="M82" s="1352"/>
      <c r="N82" s="1580"/>
      <c r="O82" s="1340" t="s">
        <v>293</v>
      </c>
      <c r="P82" s="1134">
        <v>12</v>
      </c>
      <c r="Q82" s="1146">
        <v>8</v>
      </c>
      <c r="R82" s="1079">
        <v>8</v>
      </c>
      <c r="S82" s="1079"/>
    </row>
    <row r="83" spans="1:23" s="3" customFormat="1" ht="41.25" customHeight="1" x14ac:dyDescent="0.25">
      <c r="A83" s="2028"/>
      <c r="B83" s="2029"/>
      <c r="C83" s="2051"/>
      <c r="D83" s="2056"/>
      <c r="E83" s="1360"/>
      <c r="F83" s="2052"/>
      <c r="G83" s="1247"/>
      <c r="H83" s="1320"/>
      <c r="I83" s="1126"/>
      <c r="J83" s="1200"/>
      <c r="K83" s="1294"/>
      <c r="L83" s="1126"/>
      <c r="M83" s="1352"/>
      <c r="N83" s="1580"/>
      <c r="O83" s="1340" t="s">
        <v>329</v>
      </c>
      <c r="P83" s="1134">
        <v>3</v>
      </c>
      <c r="Q83" s="1146">
        <v>4</v>
      </c>
      <c r="R83" s="1079">
        <v>4</v>
      </c>
      <c r="S83" s="1079"/>
    </row>
    <row r="84" spans="1:23" s="3" customFormat="1" ht="32.25" customHeight="1" x14ac:dyDescent="0.25">
      <c r="A84" s="2028"/>
      <c r="B84" s="2029"/>
      <c r="C84" s="2051"/>
      <c r="D84" s="2056"/>
      <c r="E84" s="1360"/>
      <c r="F84" s="2052"/>
      <c r="G84" s="1247"/>
      <c r="H84" s="1320"/>
      <c r="I84" s="1126"/>
      <c r="J84" s="1200"/>
      <c r="K84" s="1294"/>
      <c r="L84" s="1126"/>
      <c r="M84" s="1352"/>
      <c r="N84" s="1580"/>
      <c r="O84" s="2074" t="s">
        <v>240</v>
      </c>
      <c r="P84" s="103">
        <v>130</v>
      </c>
      <c r="Q84" s="1062"/>
      <c r="R84" s="396"/>
      <c r="S84" s="396"/>
    </row>
    <row r="85" spans="1:23" s="3" customFormat="1" ht="16.5" customHeight="1" x14ac:dyDescent="0.25">
      <c r="A85" s="2028"/>
      <c r="B85" s="2029"/>
      <c r="C85" s="2051"/>
      <c r="D85" s="2286" t="s">
        <v>321</v>
      </c>
      <c r="E85" s="1360"/>
      <c r="F85" s="2052"/>
      <c r="G85" s="1634"/>
      <c r="H85" s="1319"/>
      <c r="I85" s="260"/>
      <c r="J85" s="331"/>
      <c r="K85" s="144"/>
      <c r="L85" s="260"/>
      <c r="M85" s="245"/>
      <c r="N85" s="1607"/>
      <c r="O85" s="2435" t="s">
        <v>150</v>
      </c>
      <c r="P85" s="103">
        <v>104</v>
      </c>
      <c r="Q85" s="130"/>
      <c r="R85" s="365"/>
      <c r="S85" s="365"/>
    </row>
    <row r="86" spans="1:23" s="3" customFormat="1" ht="27.75" customHeight="1" x14ac:dyDescent="0.25">
      <c r="A86" s="2028"/>
      <c r="B86" s="2029"/>
      <c r="C86" s="2051"/>
      <c r="D86" s="2286"/>
      <c r="E86" s="1360"/>
      <c r="F86" s="2052"/>
      <c r="G86" s="1634"/>
      <c r="H86" s="1319"/>
      <c r="I86" s="260"/>
      <c r="J86" s="331"/>
      <c r="K86" s="144"/>
      <c r="L86" s="260"/>
      <c r="M86" s="245"/>
      <c r="N86" s="1607"/>
      <c r="O86" s="2282"/>
      <c r="P86" s="183"/>
      <c r="Q86" s="101"/>
      <c r="R86" s="691"/>
      <c r="S86" s="691"/>
    </row>
    <row r="87" spans="1:23" s="2" customFormat="1" ht="21.75" customHeight="1" x14ac:dyDescent="0.25">
      <c r="A87" s="2378"/>
      <c r="B87" s="2380"/>
      <c r="C87" s="2437"/>
      <c r="D87" s="2286" t="s">
        <v>341</v>
      </c>
      <c r="E87" s="2439"/>
      <c r="F87" s="2440"/>
      <c r="G87" s="1005"/>
      <c r="H87" s="1319"/>
      <c r="I87" s="260"/>
      <c r="J87" s="331"/>
      <c r="K87" s="144"/>
      <c r="L87" s="260"/>
      <c r="M87" s="245"/>
      <c r="N87" s="1607"/>
      <c r="O87" s="2066" t="s">
        <v>310</v>
      </c>
      <c r="P87" s="1291">
        <v>1</v>
      </c>
      <c r="Q87" s="1212">
        <v>1</v>
      </c>
      <c r="R87" s="1292">
        <v>1</v>
      </c>
      <c r="S87" s="1211"/>
      <c r="T87" s="1290"/>
      <c r="W87" s="3"/>
    </row>
    <row r="88" spans="1:23" s="2" customFormat="1" ht="35.25" customHeight="1" x14ac:dyDescent="0.25">
      <c r="A88" s="2378"/>
      <c r="B88" s="2380"/>
      <c r="C88" s="2437"/>
      <c r="D88" s="2438"/>
      <c r="E88" s="2439"/>
      <c r="F88" s="2440"/>
      <c r="G88" s="1005"/>
      <c r="H88" s="1319"/>
      <c r="I88" s="260"/>
      <c r="J88" s="331"/>
      <c r="K88" s="144"/>
      <c r="L88" s="260"/>
      <c r="M88" s="245"/>
      <c r="N88" s="1607"/>
      <c r="O88" s="1342" t="s">
        <v>311</v>
      </c>
      <c r="P88" s="1179">
        <v>6</v>
      </c>
      <c r="Q88" s="1175">
        <v>6</v>
      </c>
      <c r="R88" s="1187">
        <v>6</v>
      </c>
      <c r="S88" s="1210"/>
      <c r="W88" s="3"/>
    </row>
    <row r="89" spans="1:23" s="2" customFormat="1" ht="24.75" customHeight="1" x14ac:dyDescent="0.25">
      <c r="A89" s="2378"/>
      <c r="B89" s="2380"/>
      <c r="C89" s="2437"/>
      <c r="D89" s="2438"/>
      <c r="E89" s="2439"/>
      <c r="F89" s="2440"/>
      <c r="G89" s="1005"/>
      <c r="H89" s="1319"/>
      <c r="I89" s="260"/>
      <c r="J89" s="331"/>
      <c r="K89" s="144"/>
      <c r="L89" s="260"/>
      <c r="M89" s="245"/>
      <c r="N89" s="1607"/>
      <c r="O89" s="1343" t="s">
        <v>312</v>
      </c>
      <c r="P89" s="1095"/>
      <c r="Q89" s="695">
        <v>1</v>
      </c>
      <c r="R89" s="1066"/>
      <c r="S89" s="1066"/>
      <c r="W89" s="3"/>
    </row>
    <row r="90" spans="1:23" s="3" customFormat="1" ht="41.25" customHeight="1" x14ac:dyDescent="0.25">
      <c r="A90" s="2028"/>
      <c r="B90" s="2029"/>
      <c r="C90" s="2051"/>
      <c r="D90" s="1359" t="s">
        <v>322</v>
      </c>
      <c r="E90" s="1360"/>
      <c r="F90" s="2052"/>
      <c r="G90" s="964"/>
      <c r="H90" s="1639"/>
      <c r="I90" s="1458"/>
      <c r="J90" s="1640"/>
      <c r="K90" s="1294"/>
      <c r="L90" s="1126"/>
      <c r="M90" s="1352"/>
      <c r="N90" s="1580"/>
      <c r="O90" s="1649"/>
      <c r="P90" s="183"/>
      <c r="Q90" s="1083"/>
      <c r="R90" s="1489"/>
      <c r="S90" s="1489"/>
    </row>
    <row r="91" spans="1:23" s="3" customFormat="1" ht="44.25" customHeight="1" thickBot="1" x14ac:dyDescent="0.3">
      <c r="A91" s="2028"/>
      <c r="B91" s="2029"/>
      <c r="C91" s="2051"/>
      <c r="D91" s="1359" t="s">
        <v>139</v>
      </c>
      <c r="E91" s="1360"/>
      <c r="F91" s="2052"/>
      <c r="G91" s="964"/>
      <c r="H91" s="1639"/>
      <c r="I91" s="1458"/>
      <c r="J91" s="1640"/>
      <c r="K91" s="1294"/>
      <c r="L91" s="1126"/>
      <c r="M91" s="1352"/>
      <c r="N91" s="1580"/>
      <c r="O91" s="2034"/>
      <c r="P91" s="183"/>
      <c r="Q91" s="1083"/>
      <c r="R91" s="1489"/>
      <c r="S91" s="1489"/>
    </row>
    <row r="92" spans="1:23" s="3" customFormat="1" ht="16.5" customHeight="1" x14ac:dyDescent="0.25">
      <c r="A92" s="2028"/>
      <c r="B92" s="2029"/>
      <c r="C92" s="2051"/>
      <c r="D92" s="2445" t="s">
        <v>154</v>
      </c>
      <c r="E92" s="1360"/>
      <c r="F92" s="2052"/>
      <c r="G92" s="1634"/>
      <c r="H92" s="1319"/>
      <c r="I92" s="260"/>
      <c r="J92" s="331"/>
      <c r="K92" s="144"/>
      <c r="L92" s="260"/>
      <c r="M92" s="245"/>
      <c r="N92" s="1607"/>
      <c r="O92" s="1369" t="s">
        <v>93</v>
      </c>
      <c r="P92" s="1382">
        <v>187</v>
      </c>
      <c r="Q92" s="1371">
        <v>187</v>
      </c>
      <c r="R92" s="1372">
        <v>187</v>
      </c>
      <c r="S92" s="1372"/>
    </row>
    <row r="93" spans="1:23" s="3" customFormat="1" ht="30" customHeight="1" x14ac:dyDescent="0.25">
      <c r="A93" s="2028"/>
      <c r="B93" s="2029"/>
      <c r="C93" s="2051"/>
      <c r="D93" s="2331"/>
      <c r="E93" s="1360"/>
      <c r="F93" s="2052"/>
      <c r="G93" s="1634"/>
      <c r="H93" s="1319"/>
      <c r="I93" s="260"/>
      <c r="J93" s="331"/>
      <c r="K93" s="144"/>
      <c r="L93" s="260"/>
      <c r="M93" s="245"/>
      <c r="N93" s="1607"/>
      <c r="O93" s="1309" t="s">
        <v>330</v>
      </c>
      <c r="P93" s="1134">
        <v>45</v>
      </c>
      <c r="Q93" s="1141">
        <v>45</v>
      </c>
      <c r="R93" s="94">
        <v>45</v>
      </c>
      <c r="S93" s="94"/>
    </row>
    <row r="94" spans="1:23" s="3" customFormat="1" ht="42" customHeight="1" thickBot="1" x14ac:dyDescent="0.3">
      <c r="A94" s="2028"/>
      <c r="B94" s="2029"/>
      <c r="C94" s="2051"/>
      <c r="D94" s="2575"/>
      <c r="E94" s="1360"/>
      <c r="F94" s="2052"/>
      <c r="G94" s="1634"/>
      <c r="H94" s="1319"/>
      <c r="I94" s="260"/>
      <c r="J94" s="331"/>
      <c r="K94" s="144"/>
      <c r="L94" s="260"/>
      <c r="M94" s="245"/>
      <c r="N94" s="1607"/>
      <c r="O94" s="1378" t="s">
        <v>331</v>
      </c>
      <c r="P94" s="1383">
        <v>159</v>
      </c>
      <c r="Q94" s="1384"/>
      <c r="R94" s="1385"/>
      <c r="S94" s="1385"/>
    </row>
    <row r="95" spans="1:23" s="3" customFormat="1" ht="15" customHeight="1" x14ac:dyDescent="0.25">
      <c r="A95" s="2028"/>
      <c r="B95" s="2029"/>
      <c r="C95" s="2051"/>
      <c r="D95" s="2576" t="s">
        <v>155</v>
      </c>
      <c r="E95" s="1360"/>
      <c r="F95" s="2052"/>
      <c r="G95" s="1634"/>
      <c r="H95" s="1319"/>
      <c r="I95" s="260"/>
      <c r="J95" s="331"/>
      <c r="K95" s="144"/>
      <c r="L95" s="260"/>
      <c r="M95" s="245"/>
      <c r="N95" s="1607"/>
      <c r="O95" s="1313" t="s">
        <v>210</v>
      </c>
      <c r="P95" s="183">
        <v>30</v>
      </c>
      <c r="Q95" s="416"/>
      <c r="R95" s="691"/>
      <c r="S95" s="287"/>
    </row>
    <row r="96" spans="1:23" s="3" customFormat="1" ht="15" customHeight="1" thickBot="1" x14ac:dyDescent="0.3">
      <c r="A96" s="2028"/>
      <c r="B96" s="2029"/>
      <c r="C96" s="2051"/>
      <c r="D96" s="2576"/>
      <c r="E96" s="402"/>
      <c r="F96" s="2052"/>
      <c r="G96" s="1634"/>
      <c r="H96" s="1319"/>
      <c r="I96" s="260"/>
      <c r="J96" s="331"/>
      <c r="K96" s="144"/>
      <c r="L96" s="260"/>
      <c r="M96" s="245"/>
      <c r="N96" s="1607"/>
      <c r="O96" s="2057"/>
      <c r="P96" s="183"/>
      <c r="Q96" s="101"/>
      <c r="R96" s="691"/>
      <c r="S96" s="691"/>
    </row>
    <row r="97" spans="1:25" s="3" customFormat="1" ht="29.25" customHeight="1" x14ac:dyDescent="0.25">
      <c r="A97" s="2028"/>
      <c r="B97" s="2029"/>
      <c r="C97" s="2051"/>
      <c r="D97" s="2445" t="s">
        <v>156</v>
      </c>
      <c r="E97" s="402"/>
      <c r="F97" s="2052"/>
      <c r="G97" s="1634"/>
      <c r="H97" s="1319"/>
      <c r="I97" s="260"/>
      <c r="J97" s="331"/>
      <c r="K97" s="144"/>
      <c r="L97" s="260"/>
      <c r="M97" s="245"/>
      <c r="N97" s="1607"/>
      <c r="O97" s="1369" t="s">
        <v>150</v>
      </c>
      <c r="P97" s="1382">
        <v>40</v>
      </c>
      <c r="Q97" s="1371">
        <v>40</v>
      </c>
      <c r="R97" s="1372">
        <v>40</v>
      </c>
      <c r="S97" s="1372"/>
    </row>
    <row r="98" spans="1:25" s="3" customFormat="1" ht="15.75" customHeight="1" x14ac:dyDescent="0.25">
      <c r="A98" s="2028"/>
      <c r="B98" s="2029"/>
      <c r="C98" s="2051"/>
      <c r="D98" s="2331"/>
      <c r="E98" s="402"/>
      <c r="F98" s="2052"/>
      <c r="G98" s="1634"/>
      <c r="H98" s="1319"/>
      <c r="I98" s="260"/>
      <c r="J98" s="331"/>
      <c r="K98" s="144"/>
      <c r="L98" s="260"/>
      <c r="M98" s="245"/>
      <c r="N98" s="1607"/>
      <c r="O98" s="1339" t="s">
        <v>332</v>
      </c>
      <c r="P98" s="1134">
        <v>3</v>
      </c>
      <c r="Q98" s="1141"/>
      <c r="R98" s="94"/>
      <c r="S98" s="94"/>
    </row>
    <row r="99" spans="1:25" s="3" customFormat="1" ht="18" customHeight="1" x14ac:dyDescent="0.25">
      <c r="A99" s="2028"/>
      <c r="B99" s="2029"/>
      <c r="C99" s="2051"/>
      <c r="D99" s="2331"/>
      <c r="E99" s="402"/>
      <c r="F99" s="2052"/>
      <c r="G99" s="1634"/>
      <c r="H99" s="1319"/>
      <c r="I99" s="260"/>
      <c r="J99" s="331"/>
      <c r="K99" s="144"/>
      <c r="L99" s="260"/>
      <c r="M99" s="245"/>
      <c r="N99" s="1607"/>
      <c r="O99" s="2435" t="s">
        <v>239</v>
      </c>
      <c r="P99" s="103">
        <v>20</v>
      </c>
      <c r="Q99" s="1147">
        <v>20</v>
      </c>
      <c r="R99" s="1152">
        <v>20</v>
      </c>
      <c r="S99" s="1152"/>
    </row>
    <row r="100" spans="1:25" s="3" customFormat="1" ht="12" customHeight="1" thickBot="1" x14ac:dyDescent="0.3">
      <c r="A100" s="2028"/>
      <c r="B100" s="2029"/>
      <c r="C100" s="2051"/>
      <c r="D100" s="2575"/>
      <c r="E100" s="402"/>
      <c r="F100" s="2052"/>
      <c r="G100" s="1634"/>
      <c r="H100" s="1319"/>
      <c r="I100" s="260"/>
      <c r="J100" s="331"/>
      <c r="K100" s="144"/>
      <c r="L100" s="260"/>
      <c r="M100" s="245"/>
      <c r="N100" s="1607"/>
      <c r="O100" s="2436"/>
      <c r="P100" s="1386"/>
      <c r="Q100" s="1387"/>
      <c r="R100" s="1388"/>
      <c r="S100" s="1388"/>
    </row>
    <row r="101" spans="1:25" s="3" customFormat="1" ht="17.25" customHeight="1" x14ac:dyDescent="0.25">
      <c r="A101" s="2028"/>
      <c r="B101" s="2029"/>
      <c r="C101" s="2051"/>
      <c r="D101" s="2288" t="s">
        <v>49</v>
      </c>
      <c r="E101" s="124"/>
      <c r="F101" s="2052"/>
      <c r="G101" s="1634"/>
      <c r="H101" s="1319"/>
      <c r="I101" s="260"/>
      <c r="J101" s="331"/>
      <c r="K101" s="144"/>
      <c r="L101" s="260"/>
      <c r="M101" s="245"/>
      <c r="N101" s="1607"/>
      <c r="O101" s="1311" t="s">
        <v>210</v>
      </c>
      <c r="P101" s="431">
        <v>48</v>
      </c>
      <c r="Q101" s="2082">
        <v>56</v>
      </c>
      <c r="R101" s="701">
        <v>56</v>
      </c>
      <c r="S101" s="701"/>
    </row>
    <row r="102" spans="1:25" s="3" customFormat="1" ht="39" customHeight="1" x14ac:dyDescent="0.25">
      <c r="A102" s="579"/>
      <c r="B102" s="2029"/>
      <c r="C102" s="2051"/>
      <c r="D102" s="2288"/>
      <c r="E102" s="124"/>
      <c r="F102" s="2052"/>
      <c r="G102" s="1005"/>
      <c r="H102" s="1319"/>
      <c r="I102" s="260"/>
      <c r="J102" s="331"/>
      <c r="K102" s="144"/>
      <c r="L102" s="260"/>
      <c r="M102" s="245"/>
      <c r="N102" s="1607"/>
      <c r="O102" s="1344" t="s">
        <v>333</v>
      </c>
      <c r="P102" s="433">
        <v>2</v>
      </c>
      <c r="Q102" s="2082"/>
      <c r="R102" s="701"/>
      <c r="S102" s="701"/>
    </row>
    <row r="103" spans="1:25" s="3" customFormat="1" ht="27.75" customHeight="1" x14ac:dyDescent="0.25">
      <c r="A103" s="579"/>
      <c r="B103" s="2029"/>
      <c r="C103" s="2051"/>
      <c r="D103" s="2042"/>
      <c r="E103" s="124"/>
      <c r="F103" s="2052"/>
      <c r="G103" s="1005"/>
      <c r="H103" s="1319"/>
      <c r="I103" s="260"/>
      <c r="J103" s="331"/>
      <c r="K103" s="144"/>
      <c r="L103" s="260"/>
      <c r="M103" s="245"/>
      <c r="N103" s="1607"/>
      <c r="O103" s="1344" t="s">
        <v>294</v>
      </c>
      <c r="P103" s="433">
        <v>2</v>
      </c>
      <c r="Q103" s="2082"/>
      <c r="R103" s="701"/>
      <c r="S103" s="701"/>
    </row>
    <row r="104" spans="1:25" s="3" customFormat="1" ht="27.75" customHeight="1" x14ac:dyDescent="0.25">
      <c r="A104" s="579"/>
      <c r="B104" s="2029"/>
      <c r="C104" s="2051"/>
      <c r="D104" s="2042"/>
      <c r="E104" s="124"/>
      <c r="F104" s="2052"/>
      <c r="G104" s="1005"/>
      <c r="H104" s="1319"/>
      <c r="I104" s="260"/>
      <c r="J104" s="331"/>
      <c r="K104" s="144"/>
      <c r="L104" s="260"/>
      <c r="M104" s="245"/>
      <c r="N104" s="1607"/>
      <c r="O104" s="1344" t="s">
        <v>295</v>
      </c>
      <c r="P104" s="433">
        <v>74</v>
      </c>
      <c r="Q104" s="2082"/>
      <c r="R104" s="701"/>
      <c r="S104" s="701"/>
    </row>
    <row r="105" spans="1:25" s="43" customFormat="1" ht="44.25" customHeight="1" x14ac:dyDescent="0.25">
      <c r="A105" s="579"/>
      <c r="B105" s="2029"/>
      <c r="C105" s="42"/>
      <c r="D105" s="194" t="s">
        <v>142</v>
      </c>
      <c r="E105" s="124"/>
      <c r="F105" s="2052"/>
      <c r="G105" s="1006"/>
      <c r="H105" s="907"/>
      <c r="I105" s="230"/>
      <c r="J105" s="535"/>
      <c r="K105" s="14"/>
      <c r="L105" s="230"/>
      <c r="M105" s="217"/>
      <c r="N105" s="1605"/>
      <c r="O105" s="1316" t="s">
        <v>211</v>
      </c>
      <c r="P105" s="103">
        <v>5</v>
      </c>
      <c r="Q105" s="1147">
        <v>5</v>
      </c>
      <c r="R105" s="1152">
        <v>5</v>
      </c>
      <c r="S105" s="1152"/>
    </row>
    <row r="106" spans="1:25" s="43" customFormat="1" ht="17.25" customHeight="1" thickBot="1" x14ac:dyDescent="0.3">
      <c r="A106" s="580"/>
      <c r="B106" s="2039"/>
      <c r="C106" s="297"/>
      <c r="D106" s="2420" t="s">
        <v>34</v>
      </c>
      <c r="E106" s="2353"/>
      <c r="F106" s="2353"/>
      <c r="G106" s="2421"/>
      <c r="H106" s="1470">
        <f>SUM(H52:H105)-H90-H91</f>
        <v>6604</v>
      </c>
      <c r="I106" s="1185">
        <f>SUM(I52:I105)-I90-I91</f>
        <v>6627.3</v>
      </c>
      <c r="J106" s="1569">
        <f>SUM(J52:J105)-J90-J91</f>
        <v>23.299999999999955</v>
      </c>
      <c r="K106" s="1322">
        <f t="shared" ref="K106:N106" si="11">SUM(K52:K105)-K90-K91</f>
        <v>5750.2</v>
      </c>
      <c r="L106" s="1185">
        <f t="shared" ref="L106:M106" si="12">SUM(L52:L105)-L90-L91</f>
        <v>5750.2</v>
      </c>
      <c r="M106" s="1550">
        <f t="shared" si="12"/>
        <v>0</v>
      </c>
      <c r="N106" s="1615">
        <f t="shared" si="11"/>
        <v>5686.7000000000007</v>
      </c>
      <c r="O106" s="1345"/>
      <c r="P106" s="405"/>
      <c r="Q106" s="373"/>
      <c r="R106" s="692"/>
      <c r="S106" s="692"/>
    </row>
    <row r="107" spans="1:25" s="45" customFormat="1" ht="47.25" customHeight="1" x14ac:dyDescent="0.25">
      <c r="A107" s="2422" t="s">
        <v>15</v>
      </c>
      <c r="B107" s="2424" t="s">
        <v>35</v>
      </c>
      <c r="C107" s="2426" t="s">
        <v>35</v>
      </c>
      <c r="D107" s="2573" t="s">
        <v>50</v>
      </c>
      <c r="E107" s="2428" t="s">
        <v>121</v>
      </c>
      <c r="F107" s="2430" t="s">
        <v>19</v>
      </c>
      <c r="G107" s="1248" t="s">
        <v>22</v>
      </c>
      <c r="H107" s="1472">
        <v>445.7</v>
      </c>
      <c r="I107" s="957">
        <v>491.7</v>
      </c>
      <c r="J107" s="2163">
        <f>+I107-H107</f>
        <v>46</v>
      </c>
      <c r="K107" s="206">
        <v>445.7</v>
      </c>
      <c r="L107" s="266">
        <v>445.7</v>
      </c>
      <c r="M107" s="250"/>
      <c r="N107" s="1616">
        <v>445.7</v>
      </c>
      <c r="O107" s="2409" t="s">
        <v>106</v>
      </c>
      <c r="P107" s="2248" t="s">
        <v>377</v>
      </c>
      <c r="Q107" s="1154">
        <v>97</v>
      </c>
      <c r="R107" s="1155">
        <v>97</v>
      </c>
      <c r="S107" s="2397" t="s">
        <v>378</v>
      </c>
      <c r="T107" s="48"/>
    </row>
    <row r="108" spans="1:25" s="48" customFormat="1" ht="21.75" customHeight="1" thickBot="1" x14ac:dyDescent="0.3">
      <c r="A108" s="2423"/>
      <c r="B108" s="2425"/>
      <c r="C108" s="2427"/>
      <c r="D108" s="2574"/>
      <c r="E108" s="2429"/>
      <c r="F108" s="2431"/>
      <c r="G108" s="1249" t="s">
        <v>26</v>
      </c>
      <c r="H108" s="1486">
        <f t="shared" ref="H108:N108" si="13">SUM(H107)</f>
        <v>445.7</v>
      </c>
      <c r="I108" s="335">
        <f t="shared" si="13"/>
        <v>491.7</v>
      </c>
      <c r="J108" s="335">
        <f t="shared" si="13"/>
        <v>46</v>
      </c>
      <c r="K108" s="47">
        <f t="shared" si="13"/>
        <v>445.7</v>
      </c>
      <c r="L108" s="265">
        <f t="shared" si="13"/>
        <v>445.7</v>
      </c>
      <c r="M108" s="249">
        <f t="shared" si="13"/>
        <v>0</v>
      </c>
      <c r="N108" s="1617">
        <f t="shared" si="13"/>
        <v>445.7</v>
      </c>
      <c r="O108" s="2410"/>
      <c r="P108" s="368"/>
      <c r="Q108" s="1156"/>
      <c r="R108" s="1069"/>
      <c r="S108" s="2398"/>
    </row>
    <row r="109" spans="1:25" s="2" customFormat="1" ht="42" customHeight="1" x14ac:dyDescent="0.25">
      <c r="A109" s="581" t="s">
        <v>15</v>
      </c>
      <c r="B109" s="49" t="s">
        <v>35</v>
      </c>
      <c r="C109" s="171" t="s">
        <v>39</v>
      </c>
      <c r="D109" s="2411" t="s">
        <v>51</v>
      </c>
      <c r="E109" s="291"/>
      <c r="F109" s="105" t="s">
        <v>19</v>
      </c>
      <c r="G109" s="1248" t="s">
        <v>22</v>
      </c>
      <c r="H109" s="1474">
        <v>646.20000000000005</v>
      </c>
      <c r="I109" s="960">
        <f>646.2+22</f>
        <v>668.2</v>
      </c>
      <c r="J109" s="2249">
        <f>+I109-H109</f>
        <v>22</v>
      </c>
      <c r="K109" s="601">
        <f>786.6-123.4</f>
        <v>663.2</v>
      </c>
      <c r="L109" s="704">
        <f>786.6-123.4</f>
        <v>663.2</v>
      </c>
      <c r="M109" s="1449"/>
      <c r="N109" s="1618">
        <f>786.6-123.4</f>
        <v>663.2</v>
      </c>
      <c r="O109" s="2022"/>
      <c r="P109" s="1122"/>
      <c r="Q109" s="385"/>
      <c r="R109" s="107"/>
      <c r="S109" s="107"/>
    </row>
    <row r="110" spans="1:25" s="2" customFormat="1" ht="52.5" customHeight="1" x14ac:dyDescent="0.25">
      <c r="A110" s="582"/>
      <c r="B110" s="51"/>
      <c r="C110" s="703"/>
      <c r="D110" s="2412"/>
      <c r="E110" s="2031"/>
      <c r="F110" s="58"/>
      <c r="G110" s="1251"/>
      <c r="H110" s="1475"/>
      <c r="I110" s="261"/>
      <c r="J110" s="328"/>
      <c r="K110" s="52"/>
      <c r="L110" s="261"/>
      <c r="M110" s="246"/>
      <c r="N110" s="1619"/>
      <c r="O110" s="1311"/>
      <c r="P110" s="301"/>
      <c r="Q110" s="2082"/>
      <c r="R110" s="701"/>
      <c r="S110" s="701"/>
    </row>
    <row r="111" spans="1:25" s="2" customFormat="1" ht="96.75" customHeight="1" x14ac:dyDescent="0.25">
      <c r="A111" s="582"/>
      <c r="B111" s="51"/>
      <c r="C111" s="703"/>
      <c r="D111" s="2253" t="s">
        <v>97</v>
      </c>
      <c r="E111" s="702"/>
      <c r="F111" s="58"/>
      <c r="G111" s="1161"/>
      <c r="H111" s="1461"/>
      <c r="I111" s="311"/>
      <c r="J111" s="836"/>
      <c r="K111" s="309"/>
      <c r="L111" s="311"/>
      <c r="M111" s="284"/>
      <c r="N111" s="1587"/>
      <c r="O111" s="2023" t="s">
        <v>233</v>
      </c>
      <c r="P111" s="2250" t="s">
        <v>379</v>
      </c>
      <c r="Q111" s="1088">
        <v>13</v>
      </c>
      <c r="R111" s="1121">
        <v>13</v>
      </c>
      <c r="S111" s="2251" t="s">
        <v>380</v>
      </c>
      <c r="T111" s="1203"/>
      <c r="W111" s="3"/>
    </row>
    <row r="112" spans="1:25" s="2" customFormat="1" ht="78" customHeight="1" x14ac:dyDescent="0.25">
      <c r="A112" s="582"/>
      <c r="B112" s="51"/>
      <c r="C112" s="703"/>
      <c r="D112" s="2253" t="s">
        <v>98</v>
      </c>
      <c r="E112" s="363" t="s">
        <v>124</v>
      </c>
      <c r="F112" s="58"/>
      <c r="G112" s="1161"/>
      <c r="H112" s="1461"/>
      <c r="I112" s="311"/>
      <c r="J112" s="836"/>
      <c r="K112" s="309"/>
      <c r="L112" s="311"/>
      <c r="M112" s="284"/>
      <c r="N112" s="1587"/>
      <c r="O112" s="1443" t="s">
        <v>212</v>
      </c>
      <c r="P112" s="2252" t="s">
        <v>381</v>
      </c>
      <c r="Q112" s="1157">
        <v>20</v>
      </c>
      <c r="R112" s="1158">
        <v>20</v>
      </c>
      <c r="S112" s="2254" t="s">
        <v>382</v>
      </c>
      <c r="Y112" s="3"/>
    </row>
    <row r="113" spans="1:25" s="2" customFormat="1" ht="39.75" customHeight="1" x14ac:dyDescent="0.25">
      <c r="A113" s="582"/>
      <c r="B113" s="51"/>
      <c r="C113" s="703"/>
      <c r="D113" s="2291" t="s">
        <v>99</v>
      </c>
      <c r="E113" s="705"/>
      <c r="F113" s="58"/>
      <c r="G113" s="1247"/>
      <c r="H113" s="1320"/>
      <c r="I113" s="1126"/>
      <c r="J113" s="1200"/>
      <c r="K113" s="1294"/>
      <c r="L113" s="1126"/>
      <c r="M113" s="1352"/>
      <c r="N113" s="1580"/>
      <c r="O113" s="1444" t="s">
        <v>232</v>
      </c>
      <c r="P113" s="1084">
        <v>34</v>
      </c>
      <c r="Q113" s="1162">
        <v>34</v>
      </c>
      <c r="R113" s="1163">
        <v>34</v>
      </c>
      <c r="S113" s="1163"/>
      <c r="T113" s="1203"/>
      <c r="U113" s="3"/>
    </row>
    <row r="114" spans="1:25" s="2" customFormat="1" ht="41.25" customHeight="1" x14ac:dyDescent="0.25">
      <c r="A114" s="582"/>
      <c r="B114" s="51"/>
      <c r="C114" s="703"/>
      <c r="D114" s="2292"/>
      <c r="E114" s="2058"/>
      <c r="F114" s="58"/>
      <c r="G114" s="1247"/>
      <c r="H114" s="1320"/>
      <c r="I114" s="1126"/>
      <c r="J114" s="1200"/>
      <c r="K114" s="1294"/>
      <c r="L114" s="1126"/>
      <c r="M114" s="1352"/>
      <c r="N114" s="1580"/>
      <c r="O114" s="1445" t="s">
        <v>307</v>
      </c>
      <c r="P114" s="2026"/>
      <c r="Q114" s="1159">
        <v>35</v>
      </c>
      <c r="R114" s="1160">
        <v>35</v>
      </c>
      <c r="S114" s="1160"/>
      <c r="T114" s="1203"/>
      <c r="U114" s="3"/>
    </row>
    <row r="115" spans="1:25" s="2" customFormat="1" ht="138.75" customHeight="1" x14ac:dyDescent="0.25">
      <c r="A115" s="582"/>
      <c r="B115" s="51"/>
      <c r="C115" s="703"/>
      <c r="D115" s="41" t="s">
        <v>100</v>
      </c>
      <c r="E115" s="899" t="s">
        <v>115</v>
      </c>
      <c r="F115" s="58"/>
      <c r="G115" s="1247"/>
      <c r="H115" s="1320"/>
      <c r="I115" s="1126"/>
      <c r="J115" s="1200"/>
      <c r="K115" s="1294"/>
      <c r="L115" s="1126"/>
      <c r="M115" s="1352"/>
      <c r="N115" s="1580"/>
      <c r="O115" s="1446" t="s">
        <v>213</v>
      </c>
      <c r="P115" s="2255" t="s">
        <v>383</v>
      </c>
      <c r="Q115" s="1159">
        <v>120</v>
      </c>
      <c r="R115" s="1160">
        <v>120</v>
      </c>
      <c r="S115" s="2256" t="s">
        <v>384</v>
      </c>
      <c r="T115" s="3"/>
    </row>
    <row r="116" spans="1:25" s="2" customFormat="1" ht="78.75" customHeight="1" x14ac:dyDescent="0.25">
      <c r="A116" s="582"/>
      <c r="B116" s="51"/>
      <c r="C116" s="703"/>
      <c r="D116" s="54" t="s">
        <v>111</v>
      </c>
      <c r="E116" s="2033" t="s">
        <v>114</v>
      </c>
      <c r="F116" s="58"/>
      <c r="G116" s="1161"/>
      <c r="H116" s="1461"/>
      <c r="I116" s="311"/>
      <c r="J116" s="836"/>
      <c r="K116" s="309"/>
      <c r="L116" s="311"/>
      <c r="M116" s="284"/>
      <c r="N116" s="1587"/>
      <c r="O116" s="1447" t="s">
        <v>214</v>
      </c>
      <c r="P116" s="1084">
        <v>150</v>
      </c>
      <c r="Q116" s="1162">
        <v>150</v>
      </c>
      <c r="R116" s="1163">
        <v>150</v>
      </c>
      <c r="S116" s="1163"/>
      <c r="T116" s="3"/>
      <c r="X116" s="3"/>
    </row>
    <row r="117" spans="1:25" s="2" customFormat="1" ht="63.75" customHeight="1" x14ac:dyDescent="0.25">
      <c r="A117" s="2028"/>
      <c r="B117" s="2029"/>
      <c r="C117" s="2050"/>
      <c r="D117" s="55" t="s">
        <v>110</v>
      </c>
      <c r="E117" s="126" t="s">
        <v>122</v>
      </c>
      <c r="F117" s="2032"/>
      <c r="G117" s="1161"/>
      <c r="H117" s="1461"/>
      <c r="I117" s="311"/>
      <c r="J117" s="836"/>
      <c r="K117" s="309"/>
      <c r="L117" s="311"/>
      <c r="M117" s="284"/>
      <c r="N117" s="1587"/>
      <c r="O117" s="1447" t="s">
        <v>215</v>
      </c>
      <c r="P117" s="1329">
        <v>1</v>
      </c>
      <c r="Q117" s="1162">
        <v>1</v>
      </c>
      <c r="R117" s="1163">
        <v>1</v>
      </c>
      <c r="S117" s="1163"/>
    </row>
    <row r="118" spans="1:25" s="2" customFormat="1" ht="38.25" customHeight="1" x14ac:dyDescent="0.25">
      <c r="A118" s="2028"/>
      <c r="B118" s="2029"/>
      <c r="C118" s="2050"/>
      <c r="D118" s="2413" t="s">
        <v>52</v>
      </c>
      <c r="E118" s="705" t="s">
        <v>116</v>
      </c>
      <c r="F118" s="2032"/>
      <c r="G118" s="1161"/>
      <c r="H118" s="1461"/>
      <c r="I118" s="311"/>
      <c r="J118" s="836"/>
      <c r="K118" s="309"/>
      <c r="L118" s="311"/>
      <c r="M118" s="284"/>
      <c r="N118" s="1587"/>
      <c r="O118" s="2415" t="s">
        <v>216</v>
      </c>
      <c r="P118" s="1330">
        <v>20</v>
      </c>
      <c r="Q118" s="1164">
        <v>20</v>
      </c>
      <c r="R118" s="1165">
        <v>20</v>
      </c>
      <c r="S118" s="1165"/>
    </row>
    <row r="119" spans="1:25" s="2" customFormat="1" ht="19.5" customHeight="1" thickBot="1" x14ac:dyDescent="0.3">
      <c r="A119" s="2037"/>
      <c r="B119" s="2039"/>
      <c r="C119" s="2041"/>
      <c r="D119" s="2414"/>
      <c r="E119" s="2083"/>
      <c r="F119" s="2062"/>
      <c r="G119" s="367" t="s">
        <v>26</v>
      </c>
      <c r="H119" s="33">
        <f>SUM(H109:H118)</f>
        <v>646.20000000000005</v>
      </c>
      <c r="I119" s="237">
        <f>SUM(I109:I118)</f>
        <v>668.2</v>
      </c>
      <c r="J119" s="237">
        <f>SUM(J109:J118)</f>
        <v>22</v>
      </c>
      <c r="K119" s="30">
        <f t="shared" ref="K119:N119" si="14">SUM(K109:K118)</f>
        <v>663.2</v>
      </c>
      <c r="L119" s="237">
        <f t="shared" ref="L119:M119" si="15">SUM(L109:L118)</f>
        <v>663.2</v>
      </c>
      <c r="M119" s="223">
        <f t="shared" si="15"/>
        <v>0</v>
      </c>
      <c r="N119" s="1597">
        <f t="shared" si="14"/>
        <v>663.2</v>
      </c>
      <c r="O119" s="2405"/>
      <c r="P119" s="1331"/>
      <c r="Q119" s="1166"/>
      <c r="R119" s="1167"/>
      <c r="S119" s="1167"/>
    </row>
    <row r="120" spans="1:25" s="2" customFormat="1" ht="15.75" customHeight="1" x14ac:dyDescent="0.25">
      <c r="A120" s="581" t="s">
        <v>15</v>
      </c>
      <c r="B120" s="49" t="s">
        <v>35</v>
      </c>
      <c r="C120" s="171" t="s">
        <v>41</v>
      </c>
      <c r="D120" s="2416" t="s">
        <v>53</v>
      </c>
      <c r="E120" s="2418" t="s">
        <v>118</v>
      </c>
      <c r="F120" s="105" t="s">
        <v>19</v>
      </c>
      <c r="G120" s="1250" t="s">
        <v>22</v>
      </c>
      <c r="H120" s="1476">
        <v>93.4</v>
      </c>
      <c r="I120" s="1170">
        <v>93.4</v>
      </c>
      <c r="J120" s="1234"/>
      <c r="K120" s="380">
        <f>128.4-35</f>
        <v>93.4</v>
      </c>
      <c r="L120" s="1170">
        <f>128.4-35</f>
        <v>93.4</v>
      </c>
      <c r="M120" s="1391"/>
      <c r="N120" s="1620">
        <f>128.4-35</f>
        <v>93.4</v>
      </c>
      <c r="O120" s="2035"/>
      <c r="P120" s="689"/>
      <c r="Q120" s="2090"/>
      <c r="R120" s="1072"/>
      <c r="S120" s="1072"/>
    </row>
    <row r="121" spans="1:25" s="2" customFormat="1" ht="15.75" customHeight="1" x14ac:dyDescent="0.25">
      <c r="A121" s="582"/>
      <c r="B121" s="51"/>
      <c r="C121" s="2043"/>
      <c r="D121" s="2417"/>
      <c r="E121" s="2419"/>
      <c r="F121" s="58"/>
      <c r="G121" s="1254" t="s">
        <v>37</v>
      </c>
      <c r="H121" s="1477">
        <v>241.9</v>
      </c>
      <c r="I121" s="1393">
        <v>241.9</v>
      </c>
      <c r="J121" s="1394"/>
      <c r="K121" s="1392">
        <v>241.9</v>
      </c>
      <c r="L121" s="1393">
        <v>241.9</v>
      </c>
      <c r="M121" s="1450"/>
      <c r="N121" s="1621">
        <v>241.9</v>
      </c>
      <c r="O121" s="1313"/>
      <c r="P121" s="183"/>
      <c r="Q121" s="695"/>
      <c r="R121" s="1066"/>
      <c r="S121" s="1066"/>
    </row>
    <row r="122" spans="1:25" s="2" customFormat="1" ht="67.5" customHeight="1" x14ac:dyDescent="0.25">
      <c r="A122" s="582"/>
      <c r="B122" s="51"/>
      <c r="C122" s="2043"/>
      <c r="D122" s="57" t="s">
        <v>55</v>
      </c>
      <c r="E122" s="2419"/>
      <c r="F122" s="58"/>
      <c r="G122" s="1251"/>
      <c r="H122" s="1012"/>
      <c r="I122" s="262"/>
      <c r="J122" s="811"/>
      <c r="K122" s="1568"/>
      <c r="L122" s="1389"/>
      <c r="M122" s="1551"/>
      <c r="N122" s="1622"/>
      <c r="O122" s="1309" t="s">
        <v>334</v>
      </c>
      <c r="P122" s="1174">
        <v>19</v>
      </c>
      <c r="Q122" s="317">
        <v>19</v>
      </c>
      <c r="R122" s="1078">
        <v>19</v>
      </c>
      <c r="S122" s="1187"/>
      <c r="T122" s="1533"/>
      <c r="V122" s="3"/>
      <c r="W122" s="3"/>
      <c r="X122" s="3"/>
    </row>
    <row r="123" spans="1:25" s="2" customFormat="1" ht="15.75" customHeight="1" x14ac:dyDescent="0.25">
      <c r="A123" s="2406"/>
      <c r="B123" s="2407"/>
      <c r="C123" s="2050"/>
      <c r="D123" s="2291" t="s">
        <v>56</v>
      </c>
      <c r="E123" s="2419"/>
      <c r="F123" s="1494"/>
      <c r="G123" s="1251"/>
      <c r="H123" s="1012"/>
      <c r="I123" s="262"/>
      <c r="J123" s="811"/>
      <c r="K123" s="137"/>
      <c r="L123" s="262"/>
      <c r="M123" s="247"/>
      <c r="N123" s="1613"/>
      <c r="O123" s="2408" t="s">
        <v>296</v>
      </c>
      <c r="P123" s="1204" t="s">
        <v>297</v>
      </c>
      <c r="Q123" s="1205" t="s">
        <v>297</v>
      </c>
      <c r="R123" s="1165">
        <v>11</v>
      </c>
      <c r="S123" s="1499"/>
    </row>
    <row r="124" spans="1:25" s="2" customFormat="1" ht="15.75" customHeight="1" x14ac:dyDescent="0.25">
      <c r="A124" s="2406"/>
      <c r="B124" s="2407"/>
      <c r="C124" s="2050"/>
      <c r="D124" s="2293"/>
      <c r="E124" s="155"/>
      <c r="F124" s="1494"/>
      <c r="G124" s="709"/>
      <c r="H124" s="907"/>
      <c r="I124" s="230"/>
      <c r="J124" s="535"/>
      <c r="K124" s="14"/>
      <c r="L124" s="230"/>
      <c r="M124" s="217"/>
      <c r="N124" s="1605"/>
      <c r="O124" s="2408"/>
      <c r="P124" s="1180"/>
      <c r="Q124" s="22"/>
      <c r="R124" s="1168"/>
      <c r="S124" s="1496"/>
    </row>
    <row r="125" spans="1:25" s="2" customFormat="1" ht="16.5" customHeight="1" thickBot="1" x14ac:dyDescent="0.3">
      <c r="A125" s="2037"/>
      <c r="B125" s="2039"/>
      <c r="C125" s="2041"/>
      <c r="D125" s="2294"/>
      <c r="E125" s="2083"/>
      <c r="F125" s="2063"/>
      <c r="G125" s="1249" t="s">
        <v>26</v>
      </c>
      <c r="H125" s="1473">
        <f>SUM(H120:H124)</f>
        <v>335.3</v>
      </c>
      <c r="I125" s="265">
        <f>SUM(I120:I124)</f>
        <v>335.3</v>
      </c>
      <c r="J125" s="820"/>
      <c r="K125" s="47">
        <f t="shared" ref="K125:N125" si="16">SUM(K120:K124)</f>
        <v>335.3</v>
      </c>
      <c r="L125" s="265">
        <f t="shared" ref="L125:M125" si="17">SUM(L120:L124)</f>
        <v>335.3</v>
      </c>
      <c r="M125" s="249">
        <f t="shared" si="17"/>
        <v>0</v>
      </c>
      <c r="N125" s="1623">
        <f t="shared" si="16"/>
        <v>335.3</v>
      </c>
      <c r="O125" s="1346"/>
      <c r="P125" s="1181"/>
      <c r="Q125" s="1172"/>
      <c r="R125" s="1171"/>
      <c r="S125" s="1171"/>
    </row>
    <row r="126" spans="1:25" s="2" customFormat="1" ht="25.5" customHeight="1" x14ac:dyDescent="0.25">
      <c r="A126" s="2449" t="s">
        <v>15</v>
      </c>
      <c r="B126" s="2451" t="s">
        <v>35</v>
      </c>
      <c r="C126" s="2040" t="s">
        <v>42</v>
      </c>
      <c r="D126" s="2432" t="s">
        <v>57</v>
      </c>
      <c r="E126" s="1122"/>
      <c r="F126" s="1222" t="s">
        <v>58</v>
      </c>
      <c r="G126" s="1250" t="s">
        <v>22</v>
      </c>
      <c r="H126" s="1478">
        <v>90</v>
      </c>
      <c r="I126" s="900">
        <v>90</v>
      </c>
      <c r="J126" s="1323"/>
      <c r="K126" s="566">
        <v>90</v>
      </c>
      <c r="L126" s="900">
        <v>90</v>
      </c>
      <c r="M126" s="1213"/>
      <c r="N126" s="1624">
        <v>90</v>
      </c>
      <c r="O126" s="1347" t="s">
        <v>59</v>
      </c>
      <c r="P126" s="1030">
        <v>22</v>
      </c>
      <c r="Q126" s="1214">
        <v>22</v>
      </c>
      <c r="R126" s="1215">
        <v>22</v>
      </c>
      <c r="S126" s="1215"/>
      <c r="Y126" s="3"/>
    </row>
    <row r="127" spans="1:25" s="2" customFormat="1" ht="27" customHeight="1" x14ac:dyDescent="0.25">
      <c r="A127" s="2406"/>
      <c r="B127" s="2407"/>
      <c r="C127" s="2050"/>
      <c r="D127" s="2288"/>
      <c r="E127" s="2025"/>
      <c r="F127" s="1223"/>
      <c r="G127" s="1252" t="s">
        <v>37</v>
      </c>
      <c r="H127" s="1011"/>
      <c r="I127" s="321"/>
      <c r="J127" s="533"/>
      <c r="K127" s="29">
        <v>110</v>
      </c>
      <c r="L127" s="321">
        <v>110</v>
      </c>
      <c r="M127" s="417"/>
      <c r="N127" s="1625">
        <v>110</v>
      </c>
      <c r="O127" s="1446" t="s">
        <v>258</v>
      </c>
      <c r="P127" s="2098">
        <v>5</v>
      </c>
      <c r="Q127" s="1651"/>
      <c r="R127" s="1652"/>
      <c r="S127" s="2413"/>
      <c r="Y127" s="3"/>
    </row>
    <row r="128" spans="1:25" s="2" customFormat="1" ht="42.75" customHeight="1" x14ac:dyDescent="0.25">
      <c r="A128" s="2406"/>
      <c r="B128" s="2407"/>
      <c r="C128" s="2050"/>
      <c r="D128" s="2288"/>
      <c r="E128" s="2025"/>
      <c r="F128" s="1223"/>
      <c r="G128" s="1252" t="s">
        <v>37</v>
      </c>
      <c r="H128" s="1011">
        <v>137.30000000000001</v>
      </c>
      <c r="I128" s="321">
        <v>137.30000000000001</v>
      </c>
      <c r="J128" s="533"/>
      <c r="K128" s="29"/>
      <c r="L128" s="321"/>
      <c r="M128" s="417"/>
      <c r="N128" s="1625"/>
      <c r="O128" s="1348" t="s">
        <v>107</v>
      </c>
      <c r="P128" s="1216">
        <v>10</v>
      </c>
      <c r="Q128" s="1217">
        <v>10</v>
      </c>
      <c r="R128" s="1218">
        <v>10</v>
      </c>
      <c r="S128" s="2540"/>
    </row>
    <row r="129" spans="1:26" s="2" customFormat="1" ht="14.25" customHeight="1" x14ac:dyDescent="0.25">
      <c r="A129" s="2406"/>
      <c r="B129" s="2407"/>
      <c r="C129" s="2050"/>
      <c r="D129" s="2288"/>
      <c r="E129" s="2025"/>
      <c r="F129" s="1223"/>
      <c r="G129" s="1253"/>
      <c r="H129" s="907"/>
      <c r="I129" s="230"/>
      <c r="J129" s="535"/>
      <c r="K129" s="14"/>
      <c r="L129" s="230"/>
      <c r="M129" s="217"/>
      <c r="N129" s="1605"/>
      <c r="O129" s="2404" t="s">
        <v>147</v>
      </c>
      <c r="P129" s="1221">
        <v>30</v>
      </c>
      <c r="Q129" s="1219">
        <v>30</v>
      </c>
      <c r="R129" s="1220">
        <v>30</v>
      </c>
      <c r="S129" s="2540"/>
      <c r="Z129" s="3"/>
    </row>
    <row r="130" spans="1:26" s="2" customFormat="1" ht="16.5" customHeight="1" thickBot="1" x14ac:dyDescent="0.3">
      <c r="A130" s="2028"/>
      <c r="B130" s="2029"/>
      <c r="C130" s="2050"/>
      <c r="D130" s="2433"/>
      <c r="E130" s="2025"/>
      <c r="F130" s="1223"/>
      <c r="G130" s="1255" t="s">
        <v>26</v>
      </c>
      <c r="H130" s="33">
        <f t="shared" ref="H130:N130" si="18">SUM(H126:H129)</f>
        <v>227.3</v>
      </c>
      <c r="I130" s="237">
        <f>SUM(I126:I129)</f>
        <v>227.3</v>
      </c>
      <c r="J130" s="381">
        <f t="shared" si="18"/>
        <v>0</v>
      </c>
      <c r="K130" s="30">
        <f t="shared" si="18"/>
        <v>200</v>
      </c>
      <c r="L130" s="237">
        <f t="shared" si="18"/>
        <v>200</v>
      </c>
      <c r="M130" s="223">
        <f t="shared" si="18"/>
        <v>0</v>
      </c>
      <c r="N130" s="1597">
        <f t="shared" si="18"/>
        <v>200</v>
      </c>
      <c r="O130" s="2405"/>
      <c r="P130" s="1224"/>
      <c r="Q130" s="1225"/>
      <c r="R130" s="1226"/>
      <c r="S130" s="1226"/>
    </row>
    <row r="131" spans="1:26" s="2" customFormat="1" ht="18.75" customHeight="1" x14ac:dyDescent="0.25">
      <c r="A131" s="2036" t="s">
        <v>15</v>
      </c>
      <c r="B131" s="2038" t="s">
        <v>35</v>
      </c>
      <c r="C131" s="2040" t="s">
        <v>60</v>
      </c>
      <c r="D131" s="2397" t="s">
        <v>112</v>
      </c>
      <c r="E131" s="38"/>
      <c r="F131" s="2399">
        <v>3</v>
      </c>
      <c r="G131" s="1250" t="s">
        <v>22</v>
      </c>
      <c r="H131" s="1479">
        <v>5</v>
      </c>
      <c r="I131" s="607">
        <v>5</v>
      </c>
      <c r="J131" s="1324"/>
      <c r="K131" s="605">
        <v>5</v>
      </c>
      <c r="L131" s="607">
        <v>5</v>
      </c>
      <c r="M131" s="606"/>
      <c r="N131" s="1626">
        <v>5</v>
      </c>
      <c r="O131" s="2402" t="s">
        <v>305</v>
      </c>
      <c r="P131" s="1176">
        <v>2</v>
      </c>
      <c r="Q131" s="1135">
        <v>2</v>
      </c>
      <c r="R131" s="1073">
        <v>2</v>
      </c>
      <c r="S131" s="1073"/>
    </row>
    <row r="132" spans="1:26" s="2" customFormat="1" ht="16.5" customHeight="1" thickBot="1" x14ac:dyDescent="0.3">
      <c r="A132" s="2037"/>
      <c r="B132" s="2039"/>
      <c r="C132" s="2041"/>
      <c r="D132" s="2398"/>
      <c r="E132" s="1438"/>
      <c r="F132" s="2400"/>
      <c r="G132" s="1249" t="s">
        <v>26</v>
      </c>
      <c r="H132" s="33">
        <f>H131</f>
        <v>5</v>
      </c>
      <c r="I132" s="237">
        <f>I131</f>
        <v>5</v>
      </c>
      <c r="J132" s="347"/>
      <c r="K132" s="30">
        <f>K131</f>
        <v>5</v>
      </c>
      <c r="L132" s="237">
        <f>L131</f>
        <v>5</v>
      </c>
      <c r="M132" s="223">
        <f>M131</f>
        <v>0</v>
      </c>
      <c r="N132" s="1597">
        <f>N131</f>
        <v>5</v>
      </c>
      <c r="O132" s="2403"/>
      <c r="P132" s="1439"/>
      <c r="Q132" s="1440"/>
      <c r="R132" s="1441"/>
      <c r="S132" s="1441"/>
    </row>
    <row r="133" spans="1:26" s="2" customFormat="1" ht="15.75" customHeight="1" x14ac:dyDescent="0.25">
      <c r="A133" s="2377" t="s">
        <v>15</v>
      </c>
      <c r="B133" s="2379" t="s">
        <v>35</v>
      </c>
      <c r="C133" s="2381" t="s">
        <v>61</v>
      </c>
      <c r="D133" s="2383" t="s">
        <v>130</v>
      </c>
      <c r="E133" s="2385"/>
      <c r="F133" s="2387">
        <v>3</v>
      </c>
      <c r="G133" s="565" t="s">
        <v>20</v>
      </c>
      <c r="H133" s="566">
        <v>91.9</v>
      </c>
      <c r="I133" s="900">
        <v>91.9</v>
      </c>
      <c r="J133" s="1323"/>
      <c r="K133" s="278">
        <v>76.900000000000006</v>
      </c>
      <c r="L133" s="278">
        <v>76.900000000000006</v>
      </c>
      <c r="M133" s="275">
        <f>+L133-K133</f>
        <v>0</v>
      </c>
      <c r="N133" s="1589"/>
      <c r="O133" s="2035" t="s">
        <v>128</v>
      </c>
      <c r="P133" s="1182">
        <v>300</v>
      </c>
      <c r="Q133" s="2090">
        <v>350</v>
      </c>
      <c r="R133" s="1072"/>
      <c r="S133" s="2541"/>
    </row>
    <row r="134" spans="1:26" s="2" customFormat="1" ht="15.75" customHeight="1" x14ac:dyDescent="0.25">
      <c r="A134" s="2378"/>
      <c r="B134" s="2380"/>
      <c r="C134" s="2382"/>
      <c r="D134" s="2384"/>
      <c r="E134" s="2386"/>
      <c r="F134" s="2388"/>
      <c r="G134" s="292" t="s">
        <v>339</v>
      </c>
      <c r="H134" s="139">
        <v>34.6</v>
      </c>
      <c r="I134" s="445">
        <v>34.6</v>
      </c>
      <c r="J134" s="718"/>
      <c r="K134" s="1510"/>
      <c r="L134" s="1510"/>
      <c r="M134" s="1547"/>
      <c r="N134" s="1594"/>
      <c r="O134" s="1313"/>
      <c r="P134" s="1095"/>
      <c r="Q134" s="695"/>
      <c r="R134" s="1066"/>
      <c r="S134" s="2293"/>
    </row>
    <row r="135" spans="1:26" s="2" customFormat="1" ht="15.75" customHeight="1" x14ac:dyDescent="0.25">
      <c r="A135" s="2378"/>
      <c r="B135" s="2380"/>
      <c r="C135" s="2382"/>
      <c r="D135" s="2384"/>
      <c r="E135" s="2386"/>
      <c r="F135" s="2388"/>
      <c r="G135" s="292" t="s">
        <v>168</v>
      </c>
      <c r="H135" s="139">
        <v>206.5</v>
      </c>
      <c r="I135" s="445">
        <v>206.5</v>
      </c>
      <c r="J135" s="718"/>
      <c r="K135" s="445">
        <v>172.5</v>
      </c>
      <c r="L135" s="445">
        <v>172.5</v>
      </c>
      <c r="M135" s="446">
        <f>+L135-K135</f>
        <v>0</v>
      </c>
      <c r="N135" s="1627"/>
      <c r="O135" s="1313"/>
      <c r="P135" s="1095"/>
      <c r="Q135" s="695"/>
      <c r="R135" s="1066"/>
      <c r="S135" s="2293"/>
    </row>
    <row r="136" spans="1:26" s="2" customFormat="1" ht="15.75" customHeight="1" x14ac:dyDescent="0.25">
      <c r="A136" s="2378"/>
      <c r="B136" s="2380"/>
      <c r="C136" s="2382"/>
      <c r="D136" s="2384"/>
      <c r="E136" s="2386"/>
      <c r="F136" s="2388"/>
      <c r="G136" s="292" t="s">
        <v>180</v>
      </c>
      <c r="H136" s="138">
        <v>77.8</v>
      </c>
      <c r="I136" s="274">
        <v>77.8</v>
      </c>
      <c r="J136" s="354"/>
      <c r="K136" s="138"/>
      <c r="L136" s="274"/>
      <c r="M136" s="320"/>
      <c r="N136" s="1628"/>
      <c r="O136" s="1313"/>
      <c r="P136" s="1095"/>
      <c r="Q136" s="695"/>
      <c r="R136" s="1066"/>
      <c r="S136" s="2293"/>
    </row>
    <row r="137" spans="1:26" s="2" customFormat="1" ht="15.75" customHeight="1" thickBot="1" x14ac:dyDescent="0.3">
      <c r="A137" s="2391"/>
      <c r="B137" s="2392"/>
      <c r="C137" s="2393"/>
      <c r="D137" s="2394"/>
      <c r="E137" s="2395"/>
      <c r="F137" s="2396"/>
      <c r="G137" s="367" t="s">
        <v>26</v>
      </c>
      <c r="H137" s="30">
        <f>SUM(H133:H136)</f>
        <v>410.8</v>
      </c>
      <c r="I137" s="237">
        <f>SUM(I133:I136)</f>
        <v>410.8</v>
      </c>
      <c r="J137" s="347">
        <f>SUM(J133:J136)</f>
        <v>0</v>
      </c>
      <c r="K137" s="30">
        <f>SUM(K133:K135)</f>
        <v>249.4</v>
      </c>
      <c r="L137" s="237">
        <f>SUM(L133:L135)</f>
        <v>249.4</v>
      </c>
      <c r="M137" s="223">
        <f>SUM(M133:M135)</f>
        <v>0</v>
      </c>
      <c r="N137" s="1597"/>
      <c r="O137" s="1314"/>
      <c r="P137" s="1183"/>
      <c r="Q137" s="1177"/>
      <c r="R137" s="1186"/>
      <c r="S137" s="2294"/>
    </row>
    <row r="138" spans="1:26" s="2" customFormat="1" ht="18.75" customHeight="1" x14ac:dyDescent="0.25">
      <c r="A138" s="2377" t="s">
        <v>15</v>
      </c>
      <c r="B138" s="2379" t="s">
        <v>35</v>
      </c>
      <c r="C138" s="2381" t="s">
        <v>95</v>
      </c>
      <c r="D138" s="2389" t="s">
        <v>172</v>
      </c>
      <c r="E138" s="2385"/>
      <c r="F138" s="2387">
        <v>3</v>
      </c>
      <c r="G138" s="463" t="s">
        <v>22</v>
      </c>
      <c r="H138" s="318">
        <v>39.5</v>
      </c>
      <c r="I138" s="319">
        <v>39.5</v>
      </c>
      <c r="J138" s="450"/>
      <c r="K138" s="318">
        <v>7.3</v>
      </c>
      <c r="L138" s="319">
        <v>7.3</v>
      </c>
      <c r="M138" s="442"/>
      <c r="N138" s="1629"/>
      <c r="O138" s="2401" t="s">
        <v>221</v>
      </c>
      <c r="P138" s="1178">
        <v>1</v>
      </c>
      <c r="Q138" s="1105"/>
      <c r="R138" s="1072"/>
      <c r="S138" s="1106"/>
    </row>
    <row r="139" spans="1:26" s="2" customFormat="1" ht="41.25" customHeight="1" x14ac:dyDescent="0.25">
      <c r="A139" s="2378"/>
      <c r="B139" s="2380"/>
      <c r="C139" s="2382"/>
      <c r="D139" s="2390"/>
      <c r="E139" s="2386"/>
      <c r="F139" s="2388"/>
      <c r="G139" s="12" t="s">
        <v>168</v>
      </c>
      <c r="H139" s="138">
        <v>223.6</v>
      </c>
      <c r="I139" s="274">
        <v>223.6</v>
      </c>
      <c r="J139" s="354"/>
      <c r="K139" s="138">
        <v>41.5</v>
      </c>
      <c r="L139" s="274">
        <v>41.5</v>
      </c>
      <c r="M139" s="320"/>
      <c r="N139" s="1628"/>
      <c r="O139" s="2322"/>
      <c r="P139" s="1184"/>
      <c r="Q139" s="1086"/>
      <c r="R139" s="1076"/>
      <c r="S139" s="1087"/>
    </row>
    <row r="140" spans="1:26" s="2" customFormat="1" ht="43.5" customHeight="1" x14ac:dyDescent="0.25">
      <c r="A140" s="2378"/>
      <c r="B140" s="2380"/>
      <c r="C140" s="2382"/>
      <c r="D140" s="2390"/>
      <c r="E140" s="2386"/>
      <c r="F140" s="2388"/>
      <c r="G140" s="709"/>
      <c r="H140" s="122"/>
      <c r="I140" s="273"/>
      <c r="J140" s="575"/>
      <c r="K140" s="122"/>
      <c r="L140" s="273"/>
      <c r="M140" s="1169"/>
      <c r="N140" s="1606"/>
      <c r="O140" s="1349" t="s">
        <v>241</v>
      </c>
      <c r="P140" s="1179">
        <v>340</v>
      </c>
      <c r="Q140" s="112"/>
      <c r="R140" s="1187"/>
      <c r="S140" s="145"/>
      <c r="W140" s="3"/>
    </row>
    <row r="141" spans="1:26" s="2" customFormat="1" ht="15.75" customHeight="1" thickBot="1" x14ac:dyDescent="0.3">
      <c r="A141" s="2378"/>
      <c r="B141" s="2380"/>
      <c r="C141" s="2382"/>
      <c r="D141" s="2384"/>
      <c r="E141" s="2386"/>
      <c r="F141" s="2388"/>
      <c r="G141" s="367" t="s">
        <v>26</v>
      </c>
      <c r="H141" s="397">
        <f>SUM(H138:H140)</f>
        <v>263.10000000000002</v>
      </c>
      <c r="I141" s="826">
        <f>SUM(I138:I140)</f>
        <v>263.10000000000002</v>
      </c>
      <c r="J141" s="822"/>
      <c r="K141" s="397">
        <f t="shared" ref="K141:M141" si="19">SUM(K138:K140)</f>
        <v>48.8</v>
      </c>
      <c r="L141" s="826">
        <f t="shared" ref="L141" si="20">SUM(L138:L140)</f>
        <v>48.8</v>
      </c>
      <c r="M141" s="406">
        <f t="shared" si="19"/>
        <v>0</v>
      </c>
      <c r="N141" s="1630"/>
      <c r="O141" s="1316" t="s">
        <v>220</v>
      </c>
      <c r="P141" s="405"/>
      <c r="Q141" s="1188">
        <v>1</v>
      </c>
      <c r="R141" s="1070"/>
      <c r="S141" s="1070"/>
    </row>
    <row r="142" spans="1:26" s="2" customFormat="1" ht="21.75" customHeight="1" x14ac:dyDescent="0.25">
      <c r="A142" s="2377" t="s">
        <v>15</v>
      </c>
      <c r="B142" s="2379" t="s">
        <v>35</v>
      </c>
      <c r="C142" s="2381" t="s">
        <v>96</v>
      </c>
      <c r="D142" s="2383" t="s">
        <v>157</v>
      </c>
      <c r="E142" s="2385"/>
      <c r="F142" s="2387">
        <v>5</v>
      </c>
      <c r="G142" s="1256" t="s">
        <v>22</v>
      </c>
      <c r="H142" s="163">
        <f>137.3-50</f>
        <v>87.300000000000011</v>
      </c>
      <c r="I142" s="269">
        <f>137.3-50</f>
        <v>87.300000000000011</v>
      </c>
      <c r="J142" s="164"/>
      <c r="K142" s="163">
        <v>96.9</v>
      </c>
      <c r="L142" s="269">
        <v>96.9</v>
      </c>
      <c r="M142" s="254"/>
      <c r="N142" s="1631">
        <v>104.4</v>
      </c>
      <c r="O142" s="1350" t="s">
        <v>143</v>
      </c>
      <c r="P142" s="1178">
        <v>12</v>
      </c>
      <c r="Q142" s="1264">
        <v>17</v>
      </c>
      <c r="R142" s="1265">
        <v>17</v>
      </c>
      <c r="S142" s="1500"/>
    </row>
    <row r="143" spans="1:26" s="2" customFormat="1" ht="26.25" customHeight="1" x14ac:dyDescent="0.25">
      <c r="A143" s="2378"/>
      <c r="B143" s="2380"/>
      <c r="C143" s="2382"/>
      <c r="D143" s="2384"/>
      <c r="E143" s="2386"/>
      <c r="F143" s="2388"/>
      <c r="G143" s="1257" t="s">
        <v>164</v>
      </c>
      <c r="H143" s="70">
        <v>50</v>
      </c>
      <c r="I143" s="279">
        <v>50</v>
      </c>
      <c r="J143" s="339"/>
      <c r="K143" s="70"/>
      <c r="L143" s="279"/>
      <c r="M143" s="276"/>
      <c r="N143" s="1592"/>
      <c r="O143" s="2053"/>
      <c r="P143" s="1094"/>
      <c r="Q143" s="1189"/>
      <c r="R143" s="1067"/>
      <c r="S143" s="1418"/>
      <c r="T143" s="1533"/>
      <c r="W143" s="3"/>
    </row>
    <row r="144" spans="1:26" s="2" customFormat="1" ht="20.25" customHeight="1" thickBot="1" x14ac:dyDescent="0.3">
      <c r="A144" s="2378"/>
      <c r="B144" s="2380"/>
      <c r="C144" s="2382"/>
      <c r="D144" s="2384"/>
      <c r="E144" s="2386"/>
      <c r="F144" s="2388"/>
      <c r="G144" s="1258" t="s">
        <v>26</v>
      </c>
      <c r="H144" s="47">
        <f>SUM(H142:H143)</f>
        <v>137.30000000000001</v>
      </c>
      <c r="I144" s="265">
        <f>SUM(I142:I143)</f>
        <v>137.30000000000001</v>
      </c>
      <c r="J144" s="820"/>
      <c r="K144" s="47">
        <f>SUM(K142:K143)</f>
        <v>96.9</v>
      </c>
      <c r="L144" s="265">
        <f>SUM(L142:L143)</f>
        <v>96.9</v>
      </c>
      <c r="M144" s="249">
        <f>SUM(M142:M143)</f>
        <v>0</v>
      </c>
      <c r="N144" s="1623">
        <f>SUM(N142:N143)</f>
        <v>104.4</v>
      </c>
      <c r="O144" s="1351"/>
      <c r="P144" s="405"/>
      <c r="Q144" s="710"/>
      <c r="R144" s="1070"/>
      <c r="S144" s="1070"/>
    </row>
    <row r="145" spans="1:22" s="2" customFormat="1" ht="16.5" customHeight="1" thickBot="1" x14ac:dyDescent="0.3">
      <c r="A145" s="577" t="s">
        <v>15</v>
      </c>
      <c r="B145" s="5" t="s">
        <v>35</v>
      </c>
      <c r="C145" s="2332" t="s">
        <v>43</v>
      </c>
      <c r="D145" s="2332"/>
      <c r="E145" s="2332"/>
      <c r="F145" s="2332"/>
      <c r="G145" s="2332"/>
      <c r="H145" s="63">
        <f t="shared" ref="H145:N145" si="21">H132+H130+H125+H119+H108+H106+H137+H141+H144</f>
        <v>9074.6999999999989</v>
      </c>
      <c r="I145" s="241">
        <f t="shared" si="21"/>
        <v>9166</v>
      </c>
      <c r="J145" s="382">
        <f>J132+J130+J125+J119+J108+J106+J137+J141+J144</f>
        <v>91.299999999999955</v>
      </c>
      <c r="K145" s="63">
        <f t="shared" si="21"/>
        <v>7794.4999999999991</v>
      </c>
      <c r="L145" s="241">
        <f t="shared" si="21"/>
        <v>7794.4999999999991</v>
      </c>
      <c r="M145" s="305">
        <f t="shared" si="21"/>
        <v>0</v>
      </c>
      <c r="N145" s="1608">
        <f t="shared" si="21"/>
        <v>7440.3</v>
      </c>
      <c r="O145" s="2333"/>
      <c r="P145" s="2334"/>
      <c r="Q145" s="2334"/>
      <c r="R145" s="2334"/>
      <c r="S145" s="2335"/>
      <c r="V145" s="3"/>
    </row>
    <row r="146" spans="1:22" s="2" customFormat="1" ht="14.25" customHeight="1" thickBot="1" x14ac:dyDescent="0.3">
      <c r="A146" s="578" t="s">
        <v>15</v>
      </c>
      <c r="B146" s="5" t="s">
        <v>39</v>
      </c>
      <c r="C146" s="2372" t="s">
        <v>64</v>
      </c>
      <c r="D146" s="2372"/>
      <c r="E146" s="2372"/>
      <c r="F146" s="2372"/>
      <c r="G146" s="2372"/>
      <c r="H146" s="2372"/>
      <c r="I146" s="2372"/>
      <c r="J146" s="2372"/>
      <c r="K146" s="2372"/>
      <c r="L146" s="2372"/>
      <c r="M146" s="2372"/>
      <c r="N146" s="2372"/>
      <c r="O146" s="2372"/>
      <c r="P146" s="2372"/>
      <c r="Q146" s="2372"/>
      <c r="R146" s="2372"/>
      <c r="S146" s="2373"/>
    </row>
    <row r="147" spans="1:22" s="3" customFormat="1" ht="54.75" customHeight="1" x14ac:dyDescent="0.25">
      <c r="A147" s="2036" t="s">
        <v>15</v>
      </c>
      <c r="B147" s="2038" t="s">
        <v>39</v>
      </c>
      <c r="C147" s="1752" t="s">
        <v>15</v>
      </c>
      <c r="D147" s="2120" t="s">
        <v>65</v>
      </c>
      <c r="E147" s="125"/>
      <c r="F147" s="2123"/>
      <c r="G147" s="2128"/>
      <c r="H147" s="162"/>
      <c r="I147" s="272"/>
      <c r="J147" s="843"/>
      <c r="K147" s="162"/>
      <c r="L147" s="272"/>
      <c r="M147" s="271"/>
      <c r="N147" s="1601"/>
      <c r="O147" s="192"/>
      <c r="P147" s="1197"/>
      <c r="Q147" s="1197"/>
      <c r="R147" s="388"/>
      <c r="S147" s="388"/>
    </row>
    <row r="148" spans="1:22" s="48" customFormat="1" ht="21" customHeight="1" x14ac:dyDescent="0.25">
      <c r="A148" s="583"/>
      <c r="B148" s="152"/>
      <c r="C148" s="153"/>
      <c r="D148" s="2330" t="s">
        <v>126</v>
      </c>
      <c r="E148" s="684" t="s">
        <v>66</v>
      </c>
      <c r="F148" s="2124">
        <v>1</v>
      </c>
      <c r="G148" s="2014" t="s">
        <v>22</v>
      </c>
      <c r="H148" s="2085">
        <v>114.2</v>
      </c>
      <c r="I148" s="2087">
        <v>114.2</v>
      </c>
      <c r="J148" s="343"/>
      <c r="K148" s="2085"/>
      <c r="L148" s="2087"/>
      <c r="M148" s="2086"/>
      <c r="N148" s="1602"/>
      <c r="O148" s="2064" t="s">
        <v>242</v>
      </c>
      <c r="P148" s="1198">
        <v>3</v>
      </c>
      <c r="Q148" s="1208"/>
      <c r="R148" s="1207"/>
      <c r="S148" s="2548"/>
    </row>
    <row r="149" spans="1:22" s="48" customFormat="1" ht="21" customHeight="1" x14ac:dyDescent="0.25">
      <c r="A149" s="583"/>
      <c r="B149" s="154"/>
      <c r="C149" s="153"/>
      <c r="D149" s="2519"/>
      <c r="E149" s="708"/>
      <c r="F149" s="1436"/>
      <c r="G149" s="2129" t="s">
        <v>164</v>
      </c>
      <c r="H149" s="492">
        <v>345.8</v>
      </c>
      <c r="I149" s="1133">
        <v>345.8</v>
      </c>
      <c r="J149" s="343"/>
      <c r="K149" s="492"/>
      <c r="L149" s="1133"/>
      <c r="M149" s="1549"/>
      <c r="N149" s="1603"/>
      <c r="O149" s="409"/>
      <c r="P149" s="1402"/>
      <c r="Q149" s="1209"/>
      <c r="R149" s="1074"/>
      <c r="S149" s="2549"/>
    </row>
    <row r="150" spans="1:22" s="3" customFormat="1" ht="17.25" customHeight="1" x14ac:dyDescent="0.25">
      <c r="A150" s="2028"/>
      <c r="B150" s="2029"/>
      <c r="C150" s="202"/>
      <c r="D150" s="1361"/>
      <c r="E150" s="1057" t="s">
        <v>66</v>
      </c>
      <c r="F150" s="2125">
        <v>5</v>
      </c>
      <c r="G150" s="1304" t="s">
        <v>22</v>
      </c>
      <c r="H150" s="1396">
        <f>559.3-30</f>
        <v>529.29999999999995</v>
      </c>
      <c r="I150" s="2151">
        <f>559.3-30-4.2</f>
        <v>525.09999999999991</v>
      </c>
      <c r="J150" s="2152">
        <f>+I150-H150</f>
        <v>-4.2000000000000455</v>
      </c>
      <c r="K150" s="1570">
        <v>100</v>
      </c>
      <c r="L150" s="1442">
        <v>100</v>
      </c>
      <c r="M150" s="1552"/>
      <c r="N150" s="1604">
        <v>1000</v>
      </c>
      <c r="P150" s="2114"/>
      <c r="Q150" s="1942"/>
      <c r="R150" s="396"/>
      <c r="S150" s="1220"/>
      <c r="T150" s="1395"/>
      <c r="U150" s="1395"/>
      <c r="V150" s="1395"/>
    </row>
    <row r="151" spans="1:22" s="3" customFormat="1" ht="17.25" customHeight="1" x14ac:dyDescent="0.25">
      <c r="A151" s="2028"/>
      <c r="B151" s="2029"/>
      <c r="C151" s="202"/>
      <c r="D151" s="1361"/>
      <c r="E151" s="1058"/>
      <c r="F151" s="2126"/>
      <c r="G151" s="1304" t="s">
        <v>164</v>
      </c>
      <c r="H151" s="1396">
        <v>184.2</v>
      </c>
      <c r="I151" s="1300">
        <v>184.2</v>
      </c>
      <c r="J151" s="1641"/>
      <c r="K151" s="1299"/>
      <c r="L151" s="1300"/>
      <c r="M151" s="1451"/>
      <c r="N151" s="1604"/>
      <c r="P151" s="1457"/>
      <c r="Q151" s="111"/>
      <c r="R151" s="287"/>
      <c r="S151" s="287"/>
      <c r="T151" s="1395"/>
      <c r="U151" s="1395"/>
      <c r="V151" s="1395"/>
    </row>
    <row r="152" spans="1:22" s="3" customFormat="1" ht="17.25" customHeight="1" x14ac:dyDescent="0.25">
      <c r="A152" s="2028"/>
      <c r="B152" s="2029"/>
      <c r="C152" s="202"/>
      <c r="D152" s="1361"/>
      <c r="E152" s="1058"/>
      <c r="F152" s="2126"/>
      <c r="G152" s="2130" t="s">
        <v>168</v>
      </c>
      <c r="H152" s="1396">
        <v>347.7</v>
      </c>
      <c r="I152" s="2151">
        <f>347.7-225.3</f>
        <v>122.39999999999998</v>
      </c>
      <c r="J152" s="2152">
        <f>+I152-H152</f>
        <v>-225.3</v>
      </c>
      <c r="K152" s="1299"/>
      <c r="L152" s="2151">
        <v>225.3</v>
      </c>
      <c r="M152" s="2153">
        <f>+L152-K152</f>
        <v>225.3</v>
      </c>
      <c r="N152" s="1604"/>
      <c r="O152" s="357"/>
      <c r="P152" s="1081"/>
      <c r="Q152" s="111"/>
      <c r="R152" s="287"/>
      <c r="S152" s="2096"/>
      <c r="T152" s="1395"/>
      <c r="U152" s="1395"/>
      <c r="V152" s="1395"/>
    </row>
    <row r="153" spans="1:22" s="3" customFormat="1" ht="18" customHeight="1" x14ac:dyDescent="0.25">
      <c r="A153" s="2028"/>
      <c r="B153" s="2029"/>
      <c r="C153" s="202"/>
      <c r="D153" s="1361"/>
      <c r="E153" s="1058"/>
      <c r="F153" s="2126"/>
      <c r="G153" s="2130" t="s">
        <v>180</v>
      </c>
      <c r="H153" s="1396">
        <v>2</v>
      </c>
      <c r="I153" s="1300">
        <v>2</v>
      </c>
      <c r="J153" s="1641"/>
      <c r="K153" s="29"/>
      <c r="L153" s="321"/>
      <c r="M153" s="417"/>
      <c r="N153" s="1604"/>
      <c r="P153" s="1457"/>
      <c r="Q153" s="1788"/>
      <c r="R153" s="316"/>
      <c r="S153" s="2096"/>
    </row>
    <row r="154" spans="1:22" s="3" customFormat="1" ht="14.25" customHeight="1" x14ac:dyDescent="0.25">
      <c r="A154" s="2093"/>
      <c r="B154" s="2094"/>
      <c r="C154" s="202"/>
      <c r="D154" s="98" t="s">
        <v>229</v>
      </c>
      <c r="F154" s="1364"/>
      <c r="G154" s="2133" t="s">
        <v>270</v>
      </c>
      <c r="H154" s="2133">
        <v>50.9</v>
      </c>
      <c r="I154" s="2134">
        <v>50.9</v>
      </c>
      <c r="J154" s="2135"/>
      <c r="K154" s="2118"/>
      <c r="L154" s="1300"/>
      <c r="M154" s="1938"/>
      <c r="N154" s="1396"/>
      <c r="O154" s="2111" t="s">
        <v>186</v>
      </c>
      <c r="P154" s="1080">
        <v>100</v>
      </c>
      <c r="Q154" s="2112"/>
      <c r="R154" s="1220"/>
      <c r="S154" s="98"/>
    </row>
    <row r="155" spans="1:22" s="3" customFormat="1" ht="14.25" customHeight="1" x14ac:dyDescent="0.25">
      <c r="A155" s="2093"/>
      <c r="B155" s="2094"/>
      <c r="C155" s="202"/>
      <c r="D155" s="2096"/>
      <c r="F155" s="1364"/>
      <c r="G155" s="2133" t="s">
        <v>361</v>
      </c>
      <c r="H155" s="2136">
        <v>30.6</v>
      </c>
      <c r="I155" s="2137">
        <v>30.6</v>
      </c>
      <c r="J155" s="2138"/>
      <c r="K155" s="1459"/>
      <c r="L155" s="1300"/>
      <c r="M155" s="1938"/>
      <c r="N155" s="1396"/>
      <c r="O155" s="357" t="s">
        <v>225</v>
      </c>
      <c r="P155" s="1081">
        <v>100</v>
      </c>
      <c r="R155" s="316"/>
      <c r="S155" s="2096"/>
    </row>
    <row r="156" spans="1:22" s="3" customFormat="1" ht="14.25" customHeight="1" x14ac:dyDescent="0.25">
      <c r="A156" s="2093"/>
      <c r="B156" s="2094"/>
      <c r="C156" s="202"/>
      <c r="D156" s="2096"/>
      <c r="F156" s="1364"/>
      <c r="G156" s="2133" t="s">
        <v>279</v>
      </c>
      <c r="H156" s="2139">
        <v>121.6</v>
      </c>
      <c r="I156" s="2140">
        <v>121.6</v>
      </c>
      <c r="J156" s="2141"/>
      <c r="K156" s="1299"/>
      <c r="L156" s="1300"/>
      <c r="M156" s="1938"/>
      <c r="N156" s="1396"/>
      <c r="O156" s="357"/>
      <c r="P156" s="1081"/>
      <c r="R156" s="316"/>
      <c r="S156" s="2096"/>
    </row>
    <row r="157" spans="1:22" s="3" customFormat="1" ht="14.25" customHeight="1" x14ac:dyDescent="0.25">
      <c r="A157" s="2093"/>
      <c r="B157" s="2094"/>
      <c r="C157" s="202"/>
      <c r="D157" s="54"/>
      <c r="E157" s="2122"/>
      <c r="F157" s="2126"/>
      <c r="G157" s="2133" t="s">
        <v>362</v>
      </c>
      <c r="H157" s="2133">
        <v>2</v>
      </c>
      <c r="I157" s="2134">
        <v>2</v>
      </c>
      <c r="J157" s="2135"/>
      <c r="K157" s="2115"/>
      <c r="L157" s="2116"/>
      <c r="M157" s="2117"/>
      <c r="N157" s="2119"/>
      <c r="O157" s="109"/>
      <c r="P157" s="858"/>
      <c r="Q157" s="2113"/>
      <c r="R157" s="2110"/>
      <c r="S157" s="54"/>
    </row>
    <row r="158" spans="1:22" s="3" customFormat="1" ht="32.25" customHeight="1" x14ac:dyDescent="0.25">
      <c r="A158" s="2093"/>
      <c r="B158" s="2094"/>
      <c r="C158" s="202"/>
      <c r="D158" s="2544" t="s">
        <v>278</v>
      </c>
      <c r="E158" s="1058"/>
      <c r="F158" s="2126"/>
      <c r="G158" s="2136" t="s">
        <v>270</v>
      </c>
      <c r="H158" s="2136">
        <v>42.6</v>
      </c>
      <c r="I158" s="2134">
        <v>42.6</v>
      </c>
      <c r="J158" s="2142"/>
      <c r="K158" s="14"/>
      <c r="L158" s="230"/>
      <c r="M158" s="217"/>
      <c r="N158" s="1729"/>
      <c r="O158" s="2095" t="s">
        <v>158</v>
      </c>
      <c r="P158" s="2268">
        <v>100</v>
      </c>
      <c r="Q158" s="2269">
        <v>100</v>
      </c>
      <c r="R158" s="316"/>
      <c r="S158" s="2354" t="s">
        <v>367</v>
      </c>
    </row>
    <row r="159" spans="1:22" s="3" customFormat="1" ht="45" customHeight="1" x14ac:dyDescent="0.25">
      <c r="A159" s="2028"/>
      <c r="B159" s="2029"/>
      <c r="C159" s="202"/>
      <c r="D159" s="2545"/>
      <c r="E159" s="1058"/>
      <c r="F159" s="2126"/>
      <c r="G159" s="2143" t="s">
        <v>361</v>
      </c>
      <c r="H159" s="2133">
        <v>10.4</v>
      </c>
      <c r="I159" s="2134">
        <v>10.4</v>
      </c>
      <c r="J159" s="2144"/>
      <c r="K159" s="1560"/>
      <c r="L159" s="280"/>
      <c r="M159" s="1913"/>
      <c r="N159" s="2119"/>
      <c r="O159" s="2095" t="s">
        <v>137</v>
      </c>
      <c r="P159" s="2268">
        <v>100</v>
      </c>
      <c r="Q159" s="2269">
        <v>100</v>
      </c>
      <c r="R159" s="316"/>
      <c r="S159" s="2288"/>
    </row>
    <row r="160" spans="1:22" s="3" customFormat="1" ht="27.75" customHeight="1" x14ac:dyDescent="0.25">
      <c r="A160" s="2093"/>
      <c r="B160" s="2094"/>
      <c r="C160" s="202"/>
      <c r="D160" s="2546"/>
      <c r="E160" s="1058"/>
      <c r="F160" s="2126"/>
      <c r="G160" s="2271" t="s">
        <v>279</v>
      </c>
      <c r="H160" s="2270">
        <v>226.1</v>
      </c>
      <c r="I160" s="2145">
        <f>226.1-225.3</f>
        <v>0.79999999999998295</v>
      </c>
      <c r="J160" s="2146">
        <f>+I160-H160</f>
        <v>-225.3</v>
      </c>
      <c r="K160" s="2147"/>
      <c r="L160" s="2148">
        <v>225.3</v>
      </c>
      <c r="M160" s="2149">
        <f>+L160-K160</f>
        <v>225.3</v>
      </c>
      <c r="N160" s="2150"/>
      <c r="O160" s="2132"/>
      <c r="P160" s="1055"/>
      <c r="Q160" s="1055"/>
      <c r="R160" s="316"/>
      <c r="S160" s="2374"/>
    </row>
    <row r="161" spans="1:24" s="2" customFormat="1" ht="33.75" customHeight="1" x14ac:dyDescent="0.25">
      <c r="A161" s="2028"/>
      <c r="B161" s="2029"/>
      <c r="C161" s="2051"/>
      <c r="D161" s="2368" t="s">
        <v>222</v>
      </c>
      <c r="E161" s="2375" t="s">
        <v>121</v>
      </c>
      <c r="F161" s="2126"/>
      <c r="G161" s="2131"/>
      <c r="H161" s="1294"/>
      <c r="I161" s="1126"/>
      <c r="J161" s="1200"/>
      <c r="K161" s="1294"/>
      <c r="L161" s="1126"/>
      <c r="M161" s="1352"/>
      <c r="N161" s="1729"/>
      <c r="O161" s="498" t="s">
        <v>62</v>
      </c>
      <c r="P161" s="467">
        <v>1</v>
      </c>
      <c r="Q161" s="467"/>
      <c r="R161" s="419"/>
      <c r="S161" s="419"/>
      <c r="T161" s="3"/>
    </row>
    <row r="162" spans="1:24" s="2" customFormat="1" ht="33.75" customHeight="1" x14ac:dyDescent="0.25">
      <c r="A162" s="2028"/>
      <c r="B162" s="2029"/>
      <c r="C162" s="2051"/>
      <c r="D162" s="2369"/>
      <c r="E162" s="2376"/>
      <c r="F162" s="2127"/>
      <c r="G162" s="191"/>
      <c r="H162" s="1320"/>
      <c r="I162" s="1126"/>
      <c r="J162" s="1200"/>
      <c r="K162" s="1294"/>
      <c r="L162" s="1126"/>
      <c r="M162" s="1352"/>
      <c r="N162" s="1729"/>
      <c r="O162" s="2065" t="s">
        <v>187</v>
      </c>
      <c r="P162" s="869"/>
      <c r="Q162" s="869">
        <v>5</v>
      </c>
      <c r="R162" s="870">
        <v>40</v>
      </c>
      <c r="S162" s="870"/>
      <c r="X162" s="3"/>
    </row>
    <row r="163" spans="1:24" s="3" customFormat="1" ht="57" customHeight="1" x14ac:dyDescent="0.25">
      <c r="A163" s="2028"/>
      <c r="B163" s="2029"/>
      <c r="C163" s="64"/>
      <c r="D163" s="2158" t="s">
        <v>223</v>
      </c>
      <c r="E163" s="1401"/>
      <c r="F163" s="2159">
        <v>5</v>
      </c>
      <c r="G163" s="2160" t="s">
        <v>270</v>
      </c>
      <c r="H163" s="2143">
        <v>347</v>
      </c>
      <c r="I163" s="2161">
        <v>342.8</v>
      </c>
      <c r="J163" s="2162">
        <f>+I163-H163</f>
        <v>-4.1999999999999886</v>
      </c>
      <c r="K163" s="139"/>
      <c r="L163" s="445"/>
      <c r="M163" s="446"/>
      <c r="N163" s="2119"/>
      <c r="O163" s="109" t="s">
        <v>159</v>
      </c>
      <c r="P163" s="1402">
        <v>100</v>
      </c>
      <c r="Q163" s="1402"/>
      <c r="R163" s="1101"/>
      <c r="S163" s="1648" t="s">
        <v>368</v>
      </c>
    </row>
    <row r="164" spans="1:24" s="3" customFormat="1" ht="53.25" customHeight="1" x14ac:dyDescent="0.25">
      <c r="A164" s="2028"/>
      <c r="B164" s="2029"/>
      <c r="C164" s="844"/>
      <c r="D164" s="2121" t="s">
        <v>303</v>
      </c>
      <c r="E164" s="846"/>
      <c r="F164" s="289">
        <v>6</v>
      </c>
      <c r="G164" s="2130" t="s">
        <v>22</v>
      </c>
      <c r="H164" s="2084">
        <v>93.6</v>
      </c>
      <c r="I164" s="2087">
        <v>93.6</v>
      </c>
      <c r="J164" s="343"/>
      <c r="K164" s="2085">
        <v>132.80000000000001</v>
      </c>
      <c r="L164" s="2087">
        <v>132.80000000000001</v>
      </c>
      <c r="M164" s="2086"/>
      <c r="N164" s="1603">
        <v>110.6</v>
      </c>
      <c r="O164" s="1405" t="s">
        <v>304</v>
      </c>
      <c r="P164" s="869"/>
      <c r="Q164" s="2088">
        <v>100</v>
      </c>
      <c r="R164" s="1400"/>
      <c r="S164" s="2550"/>
      <c r="T164" s="1278"/>
      <c r="U164" s="1278"/>
      <c r="V164" s="1278"/>
    </row>
    <row r="165" spans="1:24" s="3" customFormat="1" ht="54.75" customHeight="1" x14ac:dyDescent="0.25">
      <c r="A165" s="2028"/>
      <c r="B165" s="2029"/>
      <c r="C165" s="844"/>
      <c r="D165" s="852"/>
      <c r="E165" s="846"/>
      <c r="F165" s="289"/>
      <c r="G165" s="2130" t="s">
        <v>164</v>
      </c>
      <c r="H165" s="2084">
        <v>17</v>
      </c>
      <c r="I165" s="2087">
        <v>17</v>
      </c>
      <c r="J165" s="343"/>
      <c r="K165" s="2085"/>
      <c r="L165" s="2087"/>
      <c r="M165" s="2086"/>
      <c r="N165" s="1580"/>
      <c r="O165" s="1231" t="s">
        <v>335</v>
      </c>
      <c r="P165" s="1229"/>
      <c r="Q165" s="2088">
        <v>100</v>
      </c>
      <c r="R165" s="849"/>
      <c r="S165" s="2551"/>
    </row>
    <row r="166" spans="1:24" s="1" customFormat="1" ht="30.75" customHeight="1" x14ac:dyDescent="0.2">
      <c r="A166" s="579"/>
      <c r="B166" s="2029"/>
      <c r="C166" s="2097"/>
      <c r="D166" s="1413" t="s">
        <v>141</v>
      </c>
      <c r="E166" s="468"/>
      <c r="F166" s="178"/>
      <c r="G166" s="296"/>
      <c r="H166" s="144"/>
      <c r="I166" s="260"/>
      <c r="J166" s="331"/>
      <c r="K166" s="144"/>
      <c r="L166" s="260"/>
      <c r="M166" s="245"/>
      <c r="N166" s="2099"/>
      <c r="O166" s="527" t="s">
        <v>140</v>
      </c>
      <c r="P166" s="1229">
        <v>9</v>
      </c>
      <c r="Q166" s="1403">
        <v>9</v>
      </c>
      <c r="R166" s="1404">
        <v>9</v>
      </c>
      <c r="S166" s="1404"/>
      <c r="V166" s="68"/>
    </row>
    <row r="167" spans="1:24" s="2" customFormat="1" ht="16.5" customHeight="1" thickBot="1" x14ac:dyDescent="0.3">
      <c r="A167" s="2037"/>
      <c r="B167" s="2039"/>
      <c r="C167" s="203"/>
      <c r="D167" s="2560" t="s">
        <v>34</v>
      </c>
      <c r="E167" s="2360"/>
      <c r="F167" s="2360"/>
      <c r="G167" s="2561"/>
      <c r="H167" s="1297">
        <f>+H165+H164+H153+H152+H151+H150+H149+H148</f>
        <v>1633.8</v>
      </c>
      <c r="I167" s="1201">
        <f>+I165+I164+I153+I152+I151+I150+I149+I148</f>
        <v>1404.3</v>
      </c>
      <c r="J167" s="1206">
        <f>+J165+J164+J153+J152+J151+J150+J149+J148</f>
        <v>-229.50000000000006</v>
      </c>
      <c r="K167" s="1297">
        <f t="shared" ref="K167:N167" si="22">+K165+K164+K153+K152+K151+K150+K149+K148</f>
        <v>232.8</v>
      </c>
      <c r="L167" s="1201">
        <f t="shared" si="22"/>
        <v>458.1</v>
      </c>
      <c r="M167" s="1206">
        <f t="shared" si="22"/>
        <v>225.3</v>
      </c>
      <c r="N167" s="1297">
        <f t="shared" si="22"/>
        <v>1110.5999999999999</v>
      </c>
      <c r="O167" s="2361"/>
      <c r="P167" s="2362"/>
      <c r="Q167" s="2362"/>
      <c r="R167" s="2362"/>
      <c r="S167" s="2363"/>
    </row>
    <row r="168" spans="1:24" s="2" customFormat="1" ht="16.5" customHeight="1" thickBot="1" x14ac:dyDescent="0.3">
      <c r="A168" s="577" t="s">
        <v>15</v>
      </c>
      <c r="B168" s="71" t="s">
        <v>39</v>
      </c>
      <c r="C168" s="2364" t="s">
        <v>43</v>
      </c>
      <c r="D168" s="2332"/>
      <c r="E168" s="2332"/>
      <c r="F168" s="2332"/>
      <c r="G168" s="2332"/>
      <c r="H168" s="63">
        <f>H167</f>
        <v>1633.8</v>
      </c>
      <c r="I168" s="241">
        <f>I167</f>
        <v>1404.3</v>
      </c>
      <c r="J168" s="823">
        <f>J167</f>
        <v>-229.50000000000006</v>
      </c>
      <c r="K168" s="63">
        <f t="shared" ref="K168:N168" si="23">K167</f>
        <v>232.8</v>
      </c>
      <c r="L168" s="241">
        <f t="shared" ref="L168:M168" si="24">L167</f>
        <v>458.1</v>
      </c>
      <c r="M168" s="305">
        <f t="shared" si="24"/>
        <v>225.3</v>
      </c>
      <c r="N168" s="1608">
        <f t="shared" si="23"/>
        <v>1110.5999999999999</v>
      </c>
      <c r="O168" s="2333"/>
      <c r="P168" s="2334"/>
      <c r="Q168" s="2334"/>
      <c r="R168" s="2334"/>
      <c r="S168" s="2335"/>
    </row>
    <row r="169" spans="1:24" s="1" customFormat="1" ht="16.5" customHeight="1" thickBot="1" x14ac:dyDescent="0.25">
      <c r="A169" s="577" t="s">
        <v>15</v>
      </c>
      <c r="B169" s="71" t="s">
        <v>41</v>
      </c>
      <c r="C169" s="2365" t="s">
        <v>67</v>
      </c>
      <c r="D169" s="2366"/>
      <c r="E169" s="2366"/>
      <c r="F169" s="2366"/>
      <c r="G169" s="2366"/>
      <c r="H169" s="2366"/>
      <c r="I169" s="2366"/>
      <c r="J169" s="2366"/>
      <c r="K169" s="2366"/>
      <c r="L169" s="2366"/>
      <c r="M169" s="2366"/>
      <c r="N169" s="2366"/>
      <c r="O169" s="2366"/>
      <c r="P169" s="2366"/>
      <c r="Q169" s="2366"/>
      <c r="R169" s="2366"/>
      <c r="S169" s="2367"/>
    </row>
    <row r="170" spans="1:24" s="1" customFormat="1" ht="18" customHeight="1" x14ac:dyDescent="0.2">
      <c r="A170" s="2036" t="s">
        <v>15</v>
      </c>
      <c r="B170" s="2038" t="s">
        <v>41</v>
      </c>
      <c r="C170" s="2059" t="s">
        <v>15</v>
      </c>
      <c r="D170" s="72" t="s">
        <v>68</v>
      </c>
      <c r="E170" s="158"/>
      <c r="F170" s="73"/>
      <c r="G170" s="193"/>
      <c r="H170" s="50"/>
      <c r="I170" s="278"/>
      <c r="J170" s="338"/>
      <c r="K170" s="50"/>
      <c r="L170" s="278"/>
      <c r="M170" s="275"/>
      <c r="N170" s="1589"/>
      <c r="O170" s="192"/>
      <c r="P170" s="2092"/>
      <c r="Q170" s="2092"/>
      <c r="R170" s="2091"/>
      <c r="S170" s="2091"/>
    </row>
    <row r="171" spans="1:24" s="1" customFormat="1" ht="15.75" customHeight="1" x14ac:dyDescent="0.2">
      <c r="A171" s="2028"/>
      <c r="B171" s="2029"/>
      <c r="C171" s="2060"/>
      <c r="D171" s="2330" t="s">
        <v>136</v>
      </c>
      <c r="E171" s="345"/>
      <c r="F171" s="73">
        <v>1</v>
      </c>
      <c r="G171" s="369" t="s">
        <v>308</v>
      </c>
      <c r="H171" s="2085">
        <v>300</v>
      </c>
      <c r="I171" s="2087">
        <v>300</v>
      </c>
      <c r="J171" s="343"/>
      <c r="K171" s="174"/>
      <c r="L171" s="228"/>
      <c r="M171" s="324"/>
      <c r="N171" s="1590"/>
      <c r="O171" s="2075" t="s">
        <v>300</v>
      </c>
      <c r="P171" s="1194">
        <v>10</v>
      </c>
      <c r="Q171" s="75"/>
      <c r="R171" s="1075"/>
      <c r="S171" s="1075"/>
      <c r="W171" s="68"/>
    </row>
    <row r="172" spans="1:24" s="1" customFormat="1" ht="15.75" customHeight="1" x14ac:dyDescent="0.2">
      <c r="A172" s="2028"/>
      <c r="B172" s="2029"/>
      <c r="C172" s="2060"/>
      <c r="D172" s="2331"/>
      <c r="E172" s="345"/>
      <c r="F172" s="58"/>
      <c r="G172" s="369" t="s">
        <v>313</v>
      </c>
      <c r="H172" s="2085">
        <v>50</v>
      </c>
      <c r="I172" s="2087">
        <v>50</v>
      </c>
      <c r="J172" s="343"/>
      <c r="K172" s="174"/>
      <c r="L172" s="228"/>
      <c r="M172" s="324"/>
      <c r="N172" s="1590"/>
      <c r="O172" s="2076"/>
      <c r="P172" s="1406"/>
      <c r="Q172" s="76"/>
      <c r="R172" s="1295"/>
      <c r="S172" s="1295"/>
      <c r="W172" s="68"/>
    </row>
    <row r="173" spans="1:24" s="1" customFormat="1" ht="15.75" customHeight="1" x14ac:dyDescent="0.2">
      <c r="A173" s="2028"/>
      <c r="B173" s="2029"/>
      <c r="C173" s="2060"/>
      <c r="D173" s="2331"/>
      <c r="E173" s="157"/>
      <c r="F173" s="114"/>
      <c r="G173" s="370" t="s">
        <v>26</v>
      </c>
      <c r="H173" s="16">
        <f>SUM(H171:H172)</f>
        <v>350</v>
      </c>
      <c r="I173" s="232">
        <f>SUM(I171:I172)</f>
        <v>350</v>
      </c>
      <c r="J173" s="383"/>
      <c r="K173" s="16"/>
      <c r="L173" s="232"/>
      <c r="M173" s="219"/>
      <c r="N173" s="1591"/>
      <c r="O173" s="2080"/>
      <c r="P173" s="1407"/>
      <c r="Q173" s="77"/>
      <c r="R173" s="1071"/>
      <c r="S173" s="1501"/>
    </row>
    <row r="174" spans="1:24" s="1" customFormat="1" ht="17.25" customHeight="1" x14ac:dyDescent="0.2">
      <c r="A174" s="2028"/>
      <c r="B174" s="2029"/>
      <c r="C174" s="2060"/>
      <c r="D174" s="2542" t="s">
        <v>151</v>
      </c>
      <c r="E174" s="2357" t="s">
        <v>125</v>
      </c>
      <c r="F174" s="58">
        <v>5</v>
      </c>
      <c r="G174" s="369" t="s">
        <v>313</v>
      </c>
      <c r="H174" s="1534">
        <v>461.5</v>
      </c>
      <c r="I174" s="1544">
        <v>461.5</v>
      </c>
      <c r="J174" s="1642"/>
      <c r="K174" s="1571">
        <v>77.5</v>
      </c>
      <c r="L174" s="1232">
        <v>77.5</v>
      </c>
      <c r="M174" s="1553"/>
      <c r="N174" s="1592"/>
      <c r="O174" s="2169" t="s">
        <v>69</v>
      </c>
      <c r="P174" s="2170" t="s">
        <v>369</v>
      </c>
      <c r="Q174" s="2171" t="s">
        <v>284</v>
      </c>
      <c r="R174" s="1210">
        <v>100</v>
      </c>
      <c r="S174" s="2557" t="s">
        <v>370</v>
      </c>
      <c r="U174" s="68"/>
    </row>
    <row r="175" spans="1:24" s="1" customFormat="1" ht="27" customHeight="1" x14ac:dyDescent="0.2">
      <c r="A175" s="2028"/>
      <c r="B175" s="2029"/>
      <c r="C175" s="2060"/>
      <c r="D175" s="2543"/>
      <c r="E175" s="2351"/>
      <c r="F175" s="58"/>
      <c r="G175" s="17" t="s">
        <v>168</v>
      </c>
      <c r="H175" s="1534">
        <v>1806.7</v>
      </c>
      <c r="I175" s="2154">
        <f>1806.7-1171.1</f>
        <v>635.60000000000014</v>
      </c>
      <c r="J175" s="2155">
        <f>+I175-H175</f>
        <v>-1171.0999999999999</v>
      </c>
      <c r="K175" s="1572">
        <v>373.1</v>
      </c>
      <c r="L175" s="2156">
        <f>373.1+1171.1</f>
        <v>1544.1999999999998</v>
      </c>
      <c r="M175" s="2157">
        <f>+L175-K175</f>
        <v>1171.0999999999999</v>
      </c>
      <c r="N175" s="1592"/>
      <c r="O175" s="2555" t="s">
        <v>282</v>
      </c>
      <c r="P175" s="1409"/>
      <c r="Q175" s="1212">
        <v>1</v>
      </c>
      <c r="R175" s="1211"/>
      <c r="S175" s="2558"/>
    </row>
    <row r="176" spans="1:24" s="1" customFormat="1" ht="27" customHeight="1" x14ac:dyDescent="0.2">
      <c r="A176" s="2028"/>
      <c r="B176" s="2029"/>
      <c r="C176" s="2060"/>
      <c r="D176" s="2543"/>
      <c r="E176" s="2351"/>
      <c r="F176" s="1270"/>
      <c r="G176" s="17" t="s">
        <v>180</v>
      </c>
      <c r="H176" s="1643">
        <v>88.2</v>
      </c>
      <c r="I176" s="1545">
        <v>88.2</v>
      </c>
      <c r="J176" s="1644"/>
      <c r="K176" s="1573"/>
      <c r="L176" s="1575"/>
      <c r="M176" s="1554"/>
      <c r="N176" s="1590"/>
      <c r="O176" s="2556"/>
      <c r="P176" s="1419"/>
      <c r="Q176" s="1189"/>
      <c r="R176" s="1418"/>
      <c r="S176" s="2558"/>
    </row>
    <row r="177" spans="1:26" s="1" customFormat="1" ht="30" customHeight="1" x14ac:dyDescent="0.2">
      <c r="A177" s="2028"/>
      <c r="B177" s="2029"/>
      <c r="C177" s="2060"/>
      <c r="D177" s="2543"/>
      <c r="E177" s="2351"/>
      <c r="F177" s="1270"/>
      <c r="G177" s="17" t="s">
        <v>164</v>
      </c>
      <c r="H177" s="1645">
        <v>5</v>
      </c>
      <c r="I177" s="1546">
        <v>5</v>
      </c>
      <c r="J177" s="1642"/>
      <c r="K177" s="1571"/>
      <c r="L177" s="1232"/>
      <c r="M177" s="1553"/>
      <c r="N177" s="1592"/>
      <c r="O177" s="2556"/>
      <c r="P177" s="1419"/>
      <c r="Q177" s="1189"/>
      <c r="R177" s="1418"/>
      <c r="S177" s="2558"/>
    </row>
    <row r="178" spans="1:26" s="1" customFormat="1" ht="17.25" customHeight="1" x14ac:dyDescent="0.2">
      <c r="A178" s="2028"/>
      <c r="B178" s="2029"/>
      <c r="C178" s="2060"/>
      <c r="D178" s="2543"/>
      <c r="E178" s="2358"/>
      <c r="F178" s="1270"/>
      <c r="G178" s="2100" t="s">
        <v>22</v>
      </c>
      <c r="H178" s="2101"/>
      <c r="I178" s="2102"/>
      <c r="J178" s="2103"/>
      <c r="K178" s="2104"/>
      <c r="L178" s="2105">
        <v>316</v>
      </c>
      <c r="M178" s="2106">
        <f>+L178-K178</f>
        <v>316</v>
      </c>
      <c r="N178" s="1590"/>
      <c r="O178" s="2556"/>
      <c r="P178" s="1419"/>
      <c r="Q178" s="1189"/>
      <c r="R178" s="1418"/>
      <c r="S178" s="2558"/>
    </row>
    <row r="179" spans="1:26" s="1" customFormat="1" ht="25.5" customHeight="1" x14ac:dyDescent="0.2">
      <c r="A179" s="2028"/>
      <c r="B179" s="2029"/>
      <c r="C179" s="2060"/>
      <c r="D179" s="2543"/>
      <c r="E179" s="1269" t="s">
        <v>66</v>
      </c>
      <c r="F179" s="1270"/>
      <c r="G179" s="370" t="s">
        <v>26</v>
      </c>
      <c r="H179" s="1466">
        <f>SUM(H174:H177)</f>
        <v>2361.3999999999996</v>
      </c>
      <c r="I179" s="232">
        <f>SUM(I174:I177)</f>
        <v>1190.3000000000002</v>
      </c>
      <c r="J179" s="919">
        <f>SUM(J174:J177)</f>
        <v>-1171.0999999999999</v>
      </c>
      <c r="K179" s="16">
        <f>SUM(K174:K175)</f>
        <v>450.6</v>
      </c>
      <c r="L179" s="232">
        <f>SUM(L174:L178)</f>
        <v>1937.6999999999998</v>
      </c>
      <c r="M179" s="232">
        <f>SUM(M174:M178)</f>
        <v>1487.1</v>
      </c>
      <c r="N179" s="1591"/>
      <c r="O179" s="2556"/>
      <c r="P179" s="101"/>
      <c r="Q179" s="77"/>
      <c r="R179" s="1066"/>
      <c r="S179" s="2558"/>
    </row>
    <row r="180" spans="1:26" s="1" customFormat="1" ht="24.75" customHeight="1" thickBot="1" x14ac:dyDescent="0.25">
      <c r="A180" s="2037"/>
      <c r="B180" s="2039"/>
      <c r="C180" s="2061"/>
      <c r="D180" s="2352" t="s">
        <v>34</v>
      </c>
      <c r="E180" s="2353"/>
      <c r="F180" s="2353"/>
      <c r="G180" s="2353"/>
      <c r="H180" s="1463">
        <f t="shared" ref="H180:M180" si="25">H179+H173</f>
        <v>2711.3999999999996</v>
      </c>
      <c r="I180" s="1201">
        <f t="shared" si="25"/>
        <v>1540.3000000000002</v>
      </c>
      <c r="J180" s="1574">
        <f t="shared" si="25"/>
        <v>-1171.0999999999999</v>
      </c>
      <c r="K180" s="1297">
        <f t="shared" si="25"/>
        <v>450.6</v>
      </c>
      <c r="L180" s="1201">
        <f t="shared" si="25"/>
        <v>1937.6999999999998</v>
      </c>
      <c r="M180" s="1206">
        <f t="shared" si="25"/>
        <v>1487.1</v>
      </c>
      <c r="N180" s="1593"/>
      <c r="O180" s="1273"/>
      <c r="P180" s="1410"/>
      <c r="Q180" s="1275"/>
      <c r="R180" s="1276"/>
      <c r="S180" s="2559"/>
    </row>
    <row r="181" spans="1:26" s="1" customFormat="1" ht="27" customHeight="1" x14ac:dyDescent="0.2">
      <c r="A181" s="2028" t="s">
        <v>15</v>
      </c>
      <c r="B181" s="2029" t="s">
        <v>41</v>
      </c>
      <c r="C181" s="78" t="s">
        <v>35</v>
      </c>
      <c r="D181" s="2349" t="s">
        <v>70</v>
      </c>
      <c r="E181" s="2350" t="s">
        <v>118</v>
      </c>
      <c r="F181" s="2032" t="s">
        <v>19</v>
      </c>
      <c r="G181" s="12" t="s">
        <v>46</v>
      </c>
      <c r="H181" s="1464">
        <v>1096.3</v>
      </c>
      <c r="I181" s="278">
        <v>1096.3</v>
      </c>
      <c r="J181" s="338"/>
      <c r="K181" s="50">
        <v>1123</v>
      </c>
      <c r="L181" s="278">
        <v>1123</v>
      </c>
      <c r="M181" s="275"/>
      <c r="N181" s="1589">
        <v>1134</v>
      </c>
      <c r="O181" s="2045"/>
      <c r="P181" s="101"/>
      <c r="Q181" s="695"/>
      <c r="R181" s="1066"/>
      <c r="S181" s="2541"/>
    </row>
    <row r="182" spans="1:26" s="1" customFormat="1" ht="27" customHeight="1" x14ac:dyDescent="0.2">
      <c r="A182" s="2028"/>
      <c r="B182" s="2029"/>
      <c r="C182" s="78"/>
      <c r="D182" s="2349"/>
      <c r="E182" s="2351"/>
      <c r="F182" s="2032"/>
      <c r="G182" s="172" t="s">
        <v>94</v>
      </c>
      <c r="H182" s="1511">
        <v>830.5</v>
      </c>
      <c r="I182" s="1510">
        <v>830.5</v>
      </c>
      <c r="J182" s="1512"/>
      <c r="K182" s="1509"/>
      <c r="L182" s="1510"/>
      <c r="M182" s="1547"/>
      <c r="N182" s="1594"/>
      <c r="O182" s="2045"/>
      <c r="P182" s="101"/>
      <c r="Q182" s="695"/>
      <c r="R182" s="1066"/>
      <c r="S182" s="2293"/>
    </row>
    <row r="183" spans="1:26" s="1" customFormat="1" ht="27" customHeight="1" x14ac:dyDescent="0.2">
      <c r="A183" s="2028"/>
      <c r="B183" s="2029"/>
      <c r="C183" s="78"/>
      <c r="D183" s="2349"/>
      <c r="E183" s="2351"/>
      <c r="F183" s="2032"/>
      <c r="G183" s="12" t="s">
        <v>37</v>
      </c>
      <c r="H183" s="318">
        <v>6.6</v>
      </c>
      <c r="I183" s="319">
        <v>6.6</v>
      </c>
      <c r="J183" s="450"/>
      <c r="K183" s="318">
        <v>6.6</v>
      </c>
      <c r="L183" s="319">
        <v>6.6</v>
      </c>
      <c r="M183" s="442"/>
      <c r="N183" s="1595">
        <v>6.6</v>
      </c>
      <c r="O183" s="2045"/>
      <c r="P183" s="101"/>
      <c r="Q183" s="695"/>
      <c r="R183" s="1066"/>
      <c r="S183" s="2292"/>
    </row>
    <row r="184" spans="1:26" s="1" customFormat="1" ht="21" customHeight="1" x14ac:dyDescent="0.2">
      <c r="A184" s="2028"/>
      <c r="B184" s="2029"/>
      <c r="C184" s="127"/>
      <c r="D184" s="2291" t="s">
        <v>71</v>
      </c>
      <c r="E184" s="2351"/>
      <c r="F184" s="2032"/>
      <c r="G184" s="709"/>
      <c r="H184" s="27"/>
      <c r="I184" s="238"/>
      <c r="J184" s="362"/>
      <c r="K184" s="27"/>
      <c r="L184" s="238"/>
      <c r="M184" s="224"/>
      <c r="N184" s="1596"/>
      <c r="O184" s="1190" t="s">
        <v>298</v>
      </c>
      <c r="P184" s="1411">
        <v>35</v>
      </c>
      <c r="Q184" s="1129">
        <v>32</v>
      </c>
      <c r="R184" s="1130">
        <v>30</v>
      </c>
      <c r="S184" s="1130"/>
      <c r="X184" s="68"/>
    </row>
    <row r="185" spans="1:26" s="1" customFormat="1" ht="21" customHeight="1" x14ac:dyDescent="0.2">
      <c r="A185" s="2028"/>
      <c r="B185" s="2029"/>
      <c r="C185" s="202"/>
      <c r="D185" s="2292"/>
      <c r="E185" s="1288"/>
      <c r="F185" s="2032"/>
      <c r="G185" s="709"/>
      <c r="H185" s="27"/>
      <c r="I185" s="238"/>
      <c r="J185" s="362"/>
      <c r="K185" s="27"/>
      <c r="L185" s="238"/>
      <c r="M185" s="224"/>
      <c r="N185" s="1596"/>
      <c r="O185" s="1289"/>
      <c r="P185" s="1412"/>
      <c r="Q185" s="1191"/>
      <c r="R185" s="1168"/>
      <c r="S185" s="1168"/>
      <c r="Z185" s="68"/>
    </row>
    <row r="186" spans="1:26" s="1" customFormat="1" ht="33.75" customHeight="1" x14ac:dyDescent="0.2">
      <c r="A186" s="2028"/>
      <c r="B186" s="2029"/>
      <c r="C186" s="78"/>
      <c r="D186" s="2291" t="s">
        <v>72</v>
      </c>
      <c r="E186" s="345"/>
      <c r="F186" s="2032"/>
      <c r="G186" s="709"/>
      <c r="H186" s="27"/>
      <c r="I186" s="238"/>
      <c r="J186" s="362"/>
      <c r="K186" s="27"/>
      <c r="L186" s="238"/>
      <c r="M186" s="224"/>
      <c r="N186" s="1596"/>
      <c r="O186" s="2345" t="s">
        <v>108</v>
      </c>
      <c r="P186" s="135">
        <v>240</v>
      </c>
      <c r="Q186" s="1129">
        <v>250</v>
      </c>
      <c r="R186" s="1130">
        <v>260</v>
      </c>
      <c r="S186" s="1130"/>
      <c r="X186" s="68"/>
    </row>
    <row r="187" spans="1:26" s="1" customFormat="1" ht="33.75" customHeight="1" x14ac:dyDescent="0.2">
      <c r="A187" s="2028"/>
      <c r="B187" s="2029"/>
      <c r="C187" s="78"/>
      <c r="D187" s="2292"/>
      <c r="E187" s="159"/>
      <c r="F187" s="2032"/>
      <c r="G187" s="709"/>
      <c r="H187" s="27"/>
      <c r="I187" s="238"/>
      <c r="J187" s="362"/>
      <c r="K187" s="27"/>
      <c r="L187" s="238"/>
      <c r="M187" s="224"/>
      <c r="N187" s="1596"/>
      <c r="O187" s="2347"/>
      <c r="P187" s="136"/>
      <c r="Q187" s="1191"/>
      <c r="R187" s="1168"/>
      <c r="S187" s="1168"/>
      <c r="X187" s="68"/>
    </row>
    <row r="188" spans="1:26" s="1" customFormat="1" ht="28.5" customHeight="1" x14ac:dyDescent="0.2">
      <c r="A188" s="2028"/>
      <c r="B188" s="2029"/>
      <c r="C188" s="78"/>
      <c r="D188" s="2291" t="s">
        <v>73</v>
      </c>
      <c r="E188" s="159"/>
      <c r="F188" s="2032"/>
      <c r="G188" s="709"/>
      <c r="H188" s="27"/>
      <c r="I188" s="238"/>
      <c r="J188" s="362"/>
      <c r="K188" s="27"/>
      <c r="L188" s="238"/>
      <c r="M188" s="224"/>
      <c r="N188" s="1596"/>
      <c r="O188" s="2345" t="s">
        <v>109</v>
      </c>
      <c r="P188" s="135">
        <v>60</v>
      </c>
      <c r="Q188" s="1129">
        <v>60</v>
      </c>
      <c r="R188" s="1130">
        <v>60</v>
      </c>
      <c r="S188" s="1130"/>
      <c r="U188" s="68"/>
    </row>
    <row r="189" spans="1:26" s="1" customFormat="1" ht="28.5" customHeight="1" x14ac:dyDescent="0.2">
      <c r="A189" s="2028"/>
      <c r="B189" s="2029"/>
      <c r="C189" s="78"/>
      <c r="D189" s="2292"/>
      <c r="E189" s="159"/>
      <c r="F189" s="2032"/>
      <c r="G189" s="709"/>
      <c r="H189" s="27"/>
      <c r="I189" s="238"/>
      <c r="J189" s="362"/>
      <c r="K189" s="27"/>
      <c r="L189" s="238"/>
      <c r="M189" s="224"/>
      <c r="N189" s="1596"/>
      <c r="O189" s="2346"/>
      <c r="P189" s="136"/>
      <c r="Q189" s="1191"/>
      <c r="R189" s="1168"/>
      <c r="S189" s="1168"/>
      <c r="U189" s="68"/>
    </row>
    <row r="190" spans="1:26" s="1" customFormat="1" ht="21" customHeight="1" x14ac:dyDescent="0.2">
      <c r="A190" s="2028"/>
      <c r="B190" s="2029"/>
      <c r="C190" s="78"/>
      <c r="D190" s="2291" t="s">
        <v>74</v>
      </c>
      <c r="E190" s="159"/>
      <c r="F190" s="2032"/>
      <c r="G190" s="709"/>
      <c r="H190" s="27"/>
      <c r="I190" s="238"/>
      <c r="J190" s="362"/>
      <c r="K190" s="27"/>
      <c r="L190" s="238"/>
      <c r="M190" s="224"/>
      <c r="N190" s="1596"/>
      <c r="O190" s="2345" t="s">
        <v>75</v>
      </c>
      <c r="P190" s="135">
        <v>94</v>
      </c>
      <c r="Q190" s="1129">
        <v>95</v>
      </c>
      <c r="R190" s="1130">
        <v>95</v>
      </c>
      <c r="S190" s="1130"/>
    </row>
    <row r="191" spans="1:26" s="1" customFormat="1" ht="21" customHeight="1" x14ac:dyDescent="0.2">
      <c r="A191" s="2028"/>
      <c r="B191" s="2029"/>
      <c r="C191" s="202"/>
      <c r="D191" s="2292"/>
      <c r="E191" s="159"/>
      <c r="F191" s="2032"/>
      <c r="G191" s="709"/>
      <c r="H191" s="27"/>
      <c r="I191" s="238"/>
      <c r="J191" s="362"/>
      <c r="K191" s="27"/>
      <c r="L191" s="238"/>
      <c r="M191" s="224"/>
      <c r="N191" s="1596"/>
      <c r="O191" s="2346"/>
      <c r="P191" s="136"/>
      <c r="Q191" s="1191"/>
      <c r="R191" s="1168"/>
      <c r="S191" s="1168"/>
    </row>
    <row r="192" spans="1:26" s="1" customFormat="1" ht="55.5" customHeight="1" x14ac:dyDescent="0.2">
      <c r="A192" s="2028"/>
      <c r="B192" s="2029"/>
      <c r="C192" s="127"/>
      <c r="D192" s="394" t="s">
        <v>76</v>
      </c>
      <c r="E192" s="345"/>
      <c r="F192" s="2032"/>
      <c r="G192" s="709"/>
      <c r="H192" s="27"/>
      <c r="I192" s="238"/>
      <c r="J192" s="362"/>
      <c r="K192" s="27"/>
      <c r="L192" s="238"/>
      <c r="M192" s="224"/>
      <c r="N192" s="1596"/>
      <c r="O192" s="1031" t="s">
        <v>224</v>
      </c>
      <c r="P192" s="102">
        <v>12</v>
      </c>
      <c r="Q192" s="1085">
        <v>12</v>
      </c>
      <c r="R192" s="1078">
        <v>12</v>
      </c>
      <c r="S192" s="1078"/>
    </row>
    <row r="193" spans="1:21" s="1" customFormat="1" ht="22.5" customHeight="1" x14ac:dyDescent="0.2">
      <c r="A193" s="2028"/>
      <c r="B193" s="2029"/>
      <c r="C193" s="78"/>
      <c r="D193" s="2293" t="s">
        <v>77</v>
      </c>
      <c r="E193" s="159"/>
      <c r="F193" s="2032"/>
      <c r="G193" s="709"/>
      <c r="H193" s="27"/>
      <c r="I193" s="238"/>
      <c r="J193" s="362"/>
      <c r="K193" s="27"/>
      <c r="L193" s="238"/>
      <c r="M193" s="224"/>
      <c r="N193" s="1596"/>
      <c r="O193" s="2347" t="s">
        <v>78</v>
      </c>
      <c r="P193" s="136">
        <v>100</v>
      </c>
      <c r="Q193" s="1191">
        <v>100</v>
      </c>
      <c r="R193" s="1168">
        <v>100</v>
      </c>
      <c r="S193" s="1168"/>
    </row>
    <row r="194" spans="1:21" s="1" customFormat="1" ht="22.5" customHeight="1" x14ac:dyDescent="0.2">
      <c r="A194" s="579"/>
      <c r="B194" s="2029"/>
      <c r="C194" s="78"/>
      <c r="D194" s="2293"/>
      <c r="E194" s="159"/>
      <c r="F194" s="2032"/>
      <c r="G194" s="709"/>
      <c r="H194" s="27"/>
      <c r="I194" s="238"/>
      <c r="J194" s="362"/>
      <c r="K194" s="27"/>
      <c r="L194" s="238"/>
      <c r="M194" s="224"/>
      <c r="N194" s="1596"/>
      <c r="O194" s="2347"/>
      <c r="P194" s="136"/>
      <c r="Q194" s="1191"/>
      <c r="R194" s="1168"/>
      <c r="S194" s="1168"/>
    </row>
    <row r="195" spans="1:21" s="1" customFormat="1" ht="13.5" customHeight="1" thickBot="1" x14ac:dyDescent="0.25">
      <c r="A195" s="580" t="s">
        <v>131</v>
      </c>
      <c r="B195" s="2039"/>
      <c r="C195" s="110"/>
      <c r="D195" s="2294"/>
      <c r="E195" s="160"/>
      <c r="F195" s="2062"/>
      <c r="G195" s="367" t="s">
        <v>26</v>
      </c>
      <c r="H195" s="30">
        <f>SUM(H181:H193)</f>
        <v>1933.3999999999999</v>
      </c>
      <c r="I195" s="237">
        <f>SUM(I181:I193)</f>
        <v>1933.3999999999999</v>
      </c>
      <c r="J195" s="381">
        <f>SUM(J181:J193)</f>
        <v>0</v>
      </c>
      <c r="K195" s="30">
        <f t="shared" ref="K195:M195" si="26">SUM(K181:K193)</f>
        <v>1129.5999999999999</v>
      </c>
      <c r="L195" s="237">
        <f t="shared" ref="L195" si="27">SUM(L181:L193)</f>
        <v>1129.5999999999999</v>
      </c>
      <c r="M195" s="223">
        <f t="shared" si="26"/>
        <v>0</v>
      </c>
      <c r="N195" s="1597">
        <f>SUM(N181:N193)</f>
        <v>1140.5999999999999</v>
      </c>
      <c r="O195" s="2348"/>
      <c r="P195" s="373"/>
      <c r="Q195" s="1192"/>
      <c r="R195" s="1193"/>
      <c r="S195" s="1193"/>
    </row>
    <row r="196" spans="1:21" s="1" customFormat="1" ht="52.5" customHeight="1" x14ac:dyDescent="0.2">
      <c r="A196" s="2036" t="s">
        <v>15</v>
      </c>
      <c r="B196" s="2038" t="s">
        <v>41</v>
      </c>
      <c r="C196" s="2040" t="s">
        <v>39</v>
      </c>
      <c r="D196" s="72" t="s">
        <v>79</v>
      </c>
      <c r="E196" s="158"/>
      <c r="F196" s="73"/>
      <c r="G196" s="193"/>
      <c r="H196" s="50"/>
      <c r="I196" s="278"/>
      <c r="J196" s="338"/>
      <c r="K196" s="50"/>
      <c r="L196" s="278"/>
      <c r="M196" s="275"/>
      <c r="N196" s="1589"/>
      <c r="O196" s="192"/>
      <c r="P196" s="2092"/>
      <c r="Q196" s="2090"/>
      <c r="R196" s="1072"/>
      <c r="S196" s="1072"/>
    </row>
    <row r="197" spans="1:21" s="1" customFormat="1" ht="27.75" customHeight="1" x14ac:dyDescent="0.2">
      <c r="A197" s="2028"/>
      <c r="B197" s="2029"/>
      <c r="C197" s="2050"/>
      <c r="D197" s="2330" t="s">
        <v>160</v>
      </c>
      <c r="E197" s="345"/>
      <c r="F197" s="73">
        <v>1</v>
      </c>
      <c r="G197" s="369" t="s">
        <v>37</v>
      </c>
      <c r="H197" s="70">
        <v>50</v>
      </c>
      <c r="I197" s="279">
        <v>50</v>
      </c>
      <c r="J197" s="339"/>
      <c r="K197" s="70"/>
      <c r="L197" s="279"/>
      <c r="M197" s="276"/>
      <c r="N197" s="1592"/>
      <c r="O197" s="2030" t="s">
        <v>243</v>
      </c>
      <c r="P197" s="1194">
        <v>1</v>
      </c>
      <c r="Q197" s="75"/>
      <c r="R197" s="1075"/>
      <c r="S197" s="1075"/>
    </row>
    <row r="198" spans="1:21" s="1" customFormat="1" ht="15" customHeight="1" thickBot="1" x14ac:dyDescent="0.25">
      <c r="A198" s="2028"/>
      <c r="B198" s="2029"/>
      <c r="C198" s="2050"/>
      <c r="D198" s="2331"/>
      <c r="E198" s="157"/>
      <c r="F198" s="114"/>
      <c r="G198" s="370" t="s">
        <v>26</v>
      </c>
      <c r="H198" s="16">
        <f>SUM(H197:H197)</f>
        <v>50</v>
      </c>
      <c r="I198" s="232">
        <f>SUM(I197:I197)</f>
        <v>50</v>
      </c>
      <c r="J198" s="383"/>
      <c r="K198" s="16">
        <f>SUM(K197:K197)</f>
        <v>0</v>
      </c>
      <c r="L198" s="232">
        <f>SUM(L197:L197)</f>
        <v>0</v>
      </c>
      <c r="M198" s="219">
        <f>SUM(M197:M197)</f>
        <v>0</v>
      </c>
      <c r="N198" s="1591"/>
      <c r="O198" s="2080"/>
      <c r="P198" s="1410"/>
      <c r="Q198" s="1195"/>
      <c r="R198" s="1196"/>
      <c r="S198" s="393"/>
    </row>
    <row r="199" spans="1:21" s="2" customFormat="1" ht="16.5" customHeight="1" thickBot="1" x14ac:dyDescent="0.3">
      <c r="A199" s="577" t="s">
        <v>15</v>
      </c>
      <c r="B199" s="5" t="s">
        <v>41</v>
      </c>
      <c r="C199" s="2332" t="s">
        <v>43</v>
      </c>
      <c r="D199" s="2332"/>
      <c r="E199" s="2332"/>
      <c r="F199" s="2332"/>
      <c r="G199" s="2332"/>
      <c r="H199" s="85">
        <f t="shared" ref="H199:N199" si="28">+H198+H195+H180</f>
        <v>4694.7999999999993</v>
      </c>
      <c r="I199" s="282">
        <f t="shared" si="28"/>
        <v>3523.7</v>
      </c>
      <c r="J199" s="1261">
        <f t="shared" si="28"/>
        <v>-1171.0999999999999</v>
      </c>
      <c r="K199" s="85">
        <f t="shared" si="28"/>
        <v>1580.1999999999998</v>
      </c>
      <c r="L199" s="282">
        <f t="shared" si="28"/>
        <v>3067.2999999999997</v>
      </c>
      <c r="M199" s="1555">
        <f t="shared" si="28"/>
        <v>1487.1</v>
      </c>
      <c r="N199" s="1598">
        <f t="shared" si="28"/>
        <v>1140.5999999999999</v>
      </c>
      <c r="O199" s="2333"/>
      <c r="P199" s="2334"/>
      <c r="Q199" s="2334"/>
      <c r="R199" s="2334"/>
      <c r="S199" s="2335"/>
    </row>
    <row r="200" spans="1:21" s="1" customFormat="1" ht="16.5" customHeight="1" thickBot="1" x14ac:dyDescent="0.25">
      <c r="A200" s="2037" t="s">
        <v>15</v>
      </c>
      <c r="B200" s="584"/>
      <c r="C200" s="2336" t="s">
        <v>80</v>
      </c>
      <c r="D200" s="2336"/>
      <c r="E200" s="2336"/>
      <c r="F200" s="2336"/>
      <c r="G200" s="2336"/>
      <c r="H200" s="590">
        <f t="shared" ref="H200:N200" si="29">H199+H168+H145+H50</f>
        <v>50225.099999999991</v>
      </c>
      <c r="I200" s="591">
        <f t="shared" si="29"/>
        <v>50177.2</v>
      </c>
      <c r="J200" s="1646">
        <f t="shared" si="29"/>
        <v>-47.899999999999864</v>
      </c>
      <c r="K200" s="590">
        <f t="shared" si="29"/>
        <v>45713.2</v>
      </c>
      <c r="L200" s="591">
        <f t="shared" si="29"/>
        <v>47425.599999999991</v>
      </c>
      <c r="M200" s="585">
        <f t="shared" si="29"/>
        <v>1712.3999999999999</v>
      </c>
      <c r="N200" s="1599">
        <f t="shared" si="29"/>
        <v>45742.5</v>
      </c>
      <c r="O200" s="2337"/>
      <c r="P200" s="2338"/>
      <c r="Q200" s="2338"/>
      <c r="R200" s="2338"/>
      <c r="S200" s="2339"/>
    </row>
    <row r="201" spans="1:21" s="2" customFormat="1" ht="16.5" customHeight="1" thickBot="1" x14ac:dyDescent="0.3">
      <c r="A201" s="586" t="s">
        <v>81</v>
      </c>
      <c r="B201" s="2340" t="s">
        <v>82</v>
      </c>
      <c r="C201" s="2341"/>
      <c r="D201" s="2341"/>
      <c r="E201" s="2341"/>
      <c r="F201" s="2341"/>
      <c r="G201" s="2341"/>
      <c r="H201" s="593">
        <f t="shared" ref="H201:N201" si="30">H200</f>
        <v>50225.099999999991</v>
      </c>
      <c r="I201" s="594">
        <f t="shared" ref="I201" si="31">I200</f>
        <v>50177.2</v>
      </c>
      <c r="J201" s="1647">
        <f t="shared" si="30"/>
        <v>-47.899999999999864</v>
      </c>
      <c r="K201" s="593">
        <f t="shared" si="30"/>
        <v>45713.2</v>
      </c>
      <c r="L201" s="594">
        <f t="shared" ref="L201:M201" si="32">L200</f>
        <v>47425.599999999991</v>
      </c>
      <c r="M201" s="587">
        <f t="shared" si="32"/>
        <v>1712.3999999999999</v>
      </c>
      <c r="N201" s="1600">
        <f t="shared" si="30"/>
        <v>45742.5</v>
      </c>
      <c r="O201" s="2342"/>
      <c r="P201" s="2343"/>
      <c r="Q201" s="2343"/>
      <c r="R201" s="2343"/>
      <c r="S201" s="2344"/>
    </row>
    <row r="202" spans="1:21" s="68" customFormat="1" ht="21.75" customHeight="1" thickBot="1" x14ac:dyDescent="0.25">
      <c r="A202" s="2317" t="s">
        <v>83</v>
      </c>
      <c r="B202" s="2317"/>
      <c r="C202" s="2317"/>
      <c r="D202" s="2317"/>
      <c r="E202" s="2317"/>
      <c r="F202" s="2317"/>
      <c r="G202" s="2317"/>
      <c r="H202" s="2317"/>
      <c r="I202" s="2317"/>
      <c r="J202" s="2317"/>
      <c r="K202" s="2317"/>
      <c r="L202" s="2317"/>
      <c r="M202" s="2317"/>
      <c r="N202" s="2317"/>
      <c r="O202" s="86"/>
      <c r="P202" s="166"/>
      <c r="Q202" s="166"/>
      <c r="R202" s="166"/>
      <c r="S202" s="166"/>
    </row>
    <row r="203" spans="1:21" s="45" customFormat="1" ht="68.25" customHeight="1" thickBot="1" x14ac:dyDescent="0.3">
      <c r="A203" s="2318" t="s">
        <v>84</v>
      </c>
      <c r="B203" s="2319"/>
      <c r="C203" s="2319"/>
      <c r="D203" s="2319"/>
      <c r="E203" s="2319"/>
      <c r="F203" s="2319"/>
      <c r="G203" s="2320"/>
      <c r="H203" s="1448" t="s">
        <v>249</v>
      </c>
      <c r="I203" s="1460" t="s">
        <v>250</v>
      </c>
      <c r="J203" s="1452" t="s">
        <v>162</v>
      </c>
      <c r="K203" s="1576" t="s">
        <v>185</v>
      </c>
      <c r="L203" s="1460" t="s">
        <v>250</v>
      </c>
      <c r="M203" s="1452" t="s">
        <v>162</v>
      </c>
      <c r="N203" s="1577" t="s">
        <v>301</v>
      </c>
      <c r="O203" s="2067"/>
      <c r="P203" s="2321"/>
      <c r="Q203" s="2321"/>
      <c r="R203" s="2321"/>
      <c r="S203" s="2321"/>
      <c r="U203" s="48"/>
    </row>
    <row r="204" spans="1:21" s="2" customFormat="1" ht="15.75" customHeight="1" x14ac:dyDescent="0.25">
      <c r="A204" s="2570" t="s">
        <v>85</v>
      </c>
      <c r="B204" s="2571"/>
      <c r="C204" s="2571"/>
      <c r="D204" s="2571"/>
      <c r="E204" s="2571"/>
      <c r="F204" s="2571"/>
      <c r="G204" s="2572"/>
      <c r="H204" s="996">
        <f>+H205+H212+H215+H214+H216+H213</f>
        <v>22883.600000000002</v>
      </c>
      <c r="I204" s="1518">
        <f>+I205+I212+I215+I214+I216+I213</f>
        <v>22884.000000000004</v>
      </c>
      <c r="J204" s="1518">
        <f>+J205+J212+J215+J214+J216+J213</f>
        <v>0.40000000000100044</v>
      </c>
      <c r="K204" s="996">
        <f t="shared" ref="K204:N204" si="33">+K205+K212+K215+K214+K216</f>
        <v>18752</v>
      </c>
      <c r="L204" s="995">
        <f t="shared" ref="L204:M204" si="34">+L205+L212+L215+L214+L216</f>
        <v>20464.399999999998</v>
      </c>
      <c r="M204" s="1556">
        <f t="shared" si="34"/>
        <v>1712.4</v>
      </c>
      <c r="N204" s="1578">
        <f t="shared" si="33"/>
        <v>18778.300000000003</v>
      </c>
      <c r="O204" s="2068"/>
      <c r="P204" s="2279"/>
      <c r="Q204" s="2279"/>
      <c r="R204" s="2279"/>
      <c r="S204" s="2279"/>
    </row>
    <row r="205" spans="1:21" s="2" customFormat="1" ht="15.75" customHeight="1" x14ac:dyDescent="0.25">
      <c r="A205" s="2552" t="s">
        <v>338</v>
      </c>
      <c r="B205" s="2553"/>
      <c r="C205" s="2553"/>
      <c r="D205" s="2553"/>
      <c r="E205" s="2553"/>
      <c r="F205" s="2553"/>
      <c r="G205" s="2554"/>
      <c r="H205" s="1513">
        <f>SUM(H206:H211)</f>
        <v>20144.600000000002</v>
      </c>
      <c r="I205" s="1508">
        <f t="shared" ref="I205:J205" si="35">SUM(I206:I211)</f>
        <v>20145.000000000004</v>
      </c>
      <c r="J205" s="1557">
        <f t="shared" si="35"/>
        <v>0.40000000000100044</v>
      </c>
      <c r="K205" s="1513">
        <f t="shared" ref="K205:N205" si="36">SUM(K206:K211)</f>
        <v>18674.5</v>
      </c>
      <c r="L205" s="1508">
        <f t="shared" ref="L205" si="37">SUM(L206:L211)</f>
        <v>20386.899999999998</v>
      </c>
      <c r="M205" s="1557">
        <f>SUM(M206:M211)</f>
        <v>1712.4</v>
      </c>
      <c r="N205" s="1579">
        <f t="shared" si="36"/>
        <v>18778.300000000003</v>
      </c>
      <c r="O205" s="2068"/>
      <c r="P205" s="2068"/>
      <c r="Q205" s="2068"/>
      <c r="R205" s="2068"/>
      <c r="S205" s="2068"/>
    </row>
    <row r="206" spans="1:21" s="2" customFormat="1" ht="15.75" customHeight="1" x14ac:dyDescent="0.25">
      <c r="A206" s="2322" t="s">
        <v>86</v>
      </c>
      <c r="B206" s="2323"/>
      <c r="C206" s="2323"/>
      <c r="D206" s="2323"/>
      <c r="E206" s="2323"/>
      <c r="F206" s="2323"/>
      <c r="G206" s="2324"/>
      <c r="H206" s="1294">
        <f>SUMIF(G13:G197,"sb",H13:H197)</f>
        <v>10532</v>
      </c>
      <c r="I206" s="1126">
        <f>SUMIF(G13:G197,"sb",I13:I197)</f>
        <v>10527.800000000001</v>
      </c>
      <c r="J206" s="1286">
        <f>+I206-H206</f>
        <v>-4.1999999999989086</v>
      </c>
      <c r="K206" s="1294">
        <f>SUMIF(G13:G195,"sb",K13:K195)</f>
        <v>10242.799999999999</v>
      </c>
      <c r="L206" s="2107">
        <f>SUMIF(G13:G195,"sb",L13:L195)</f>
        <v>10558.8</v>
      </c>
      <c r="M206" s="2108">
        <f>+L206-K206</f>
        <v>316</v>
      </c>
      <c r="N206" s="1580">
        <f>SUMIF(G13:G195,"sb",N13:N195)</f>
        <v>11042.200000000003</v>
      </c>
      <c r="O206" s="2069"/>
      <c r="P206" s="2325"/>
      <c r="Q206" s="2325"/>
      <c r="R206" s="2325"/>
      <c r="S206" s="2325"/>
    </row>
    <row r="207" spans="1:21" s="2" customFormat="1" ht="27.75" customHeight="1" x14ac:dyDescent="0.25">
      <c r="A207" s="2311" t="s">
        <v>309</v>
      </c>
      <c r="B207" s="2312"/>
      <c r="C207" s="2312"/>
      <c r="D207" s="2312"/>
      <c r="E207" s="2312"/>
      <c r="F207" s="2312"/>
      <c r="G207" s="2312"/>
      <c r="H207" s="307">
        <f>SUMIF(G13:G197,"sb(f)",H13:H197)</f>
        <v>300</v>
      </c>
      <c r="I207" s="285">
        <f>SUMIF(G13:G197,"sb(f)",I13:I197)</f>
        <v>300</v>
      </c>
      <c r="J207" s="1283">
        <f t="shared" ref="J207:J215" si="38">+I207-H207</f>
        <v>0</v>
      </c>
      <c r="K207" s="307">
        <f>SUMIF(G14:G198,"sb(f)",K14:K198)</f>
        <v>0</v>
      </c>
      <c r="L207" s="285">
        <f>SUMIF(G14:G198,"sb(f)",L14:L198)</f>
        <v>0</v>
      </c>
      <c r="M207" s="283">
        <f>SUMIF(H14:H198,"sb(f)",M14:M198)</f>
        <v>0</v>
      </c>
      <c r="N207" s="1581">
        <f>SUMIF(G14:G198,"sb(f)",N14:N198)</f>
        <v>0</v>
      </c>
      <c r="O207" s="2069"/>
      <c r="P207" s="2069"/>
      <c r="Q207" s="2069"/>
      <c r="R207" s="2069"/>
      <c r="S207" s="2069"/>
    </row>
    <row r="208" spans="1:21" s="2" customFormat="1" ht="30" customHeight="1" x14ac:dyDescent="0.25">
      <c r="A208" s="2311" t="s">
        <v>244</v>
      </c>
      <c r="B208" s="2312"/>
      <c r="C208" s="2312"/>
      <c r="D208" s="2312"/>
      <c r="E208" s="2312"/>
      <c r="F208" s="2312"/>
      <c r="G208" s="2312"/>
      <c r="H208" s="307">
        <f>SUMIF(G13:G197,"sb(es)",H13:H197)</f>
        <v>2755.1000000000004</v>
      </c>
      <c r="I208" s="1041">
        <f>SUMIF(G13:G197,"sb(es)",I13:I197)</f>
        <v>1358.7000000000003</v>
      </c>
      <c r="J208" s="2261">
        <f t="shared" si="38"/>
        <v>-1396.4</v>
      </c>
      <c r="K208" s="307">
        <f>SUMIF(G18:G199,"sb(es)",K18:K199)</f>
        <v>707.1</v>
      </c>
      <c r="L208" s="1041">
        <f>SUMIF(G18:G199,"sb(es)",L18:L199)</f>
        <v>2103.5</v>
      </c>
      <c r="M208" s="2264">
        <f>+L208-K208</f>
        <v>1396.4</v>
      </c>
      <c r="N208" s="1581">
        <f>SUMIF(G18:G199,"sb(es)",N18:N199)</f>
        <v>91.5</v>
      </c>
      <c r="O208" s="2073"/>
      <c r="P208" s="2073"/>
      <c r="Q208" s="2073"/>
      <c r="R208" s="2073"/>
      <c r="S208" s="2073"/>
    </row>
    <row r="209" spans="1:19" s="2" customFormat="1" ht="30.75" customHeight="1" x14ac:dyDescent="0.25">
      <c r="A209" s="2311" t="s">
        <v>227</v>
      </c>
      <c r="B209" s="2312"/>
      <c r="C209" s="2312"/>
      <c r="D209" s="2312"/>
      <c r="E209" s="2312"/>
      <c r="F209" s="2312"/>
      <c r="G209" s="2312"/>
      <c r="H209" s="307">
        <f>SUMIF(G13:G197,"SB(esa)",H13:H197)</f>
        <v>40.6</v>
      </c>
      <c r="I209" s="285">
        <f>SUMIF(G13:G197,"SB(esa)",I13:I197)</f>
        <v>40.6</v>
      </c>
      <c r="J209" s="1283">
        <f t="shared" si="38"/>
        <v>0</v>
      </c>
      <c r="K209" s="307">
        <f>SUMIF(G15:G198,"SB(esa)",K15:K198)</f>
        <v>0</v>
      </c>
      <c r="L209" s="285">
        <f>SUMIF(G15:G198,"SB(esa)",L15:L198)</f>
        <v>0</v>
      </c>
      <c r="M209" s="283">
        <f>SUMIF(H15:H198,"SB(esa)",M15:M198)</f>
        <v>0</v>
      </c>
      <c r="N209" s="1581">
        <f>SUMIF(G15:G198,"SB(esa)",N15:N198)</f>
        <v>0</v>
      </c>
      <c r="O209" s="2073"/>
      <c r="P209" s="2073"/>
      <c r="Q209" s="2073"/>
      <c r="R209" s="2073"/>
      <c r="S209" s="2073"/>
    </row>
    <row r="210" spans="1:19" s="2" customFormat="1" ht="15.75" customHeight="1" x14ac:dyDescent="0.25">
      <c r="A210" s="2295" t="s">
        <v>87</v>
      </c>
      <c r="B210" s="2296"/>
      <c r="C210" s="2296"/>
      <c r="D210" s="2296"/>
      <c r="E210" s="2296"/>
      <c r="F210" s="2296"/>
      <c r="G210" s="2297"/>
      <c r="H210" s="827">
        <f>SUMIF(G13:G197,"sb(sp)",H13:H197)</f>
        <v>1743.1999999999998</v>
      </c>
      <c r="I210" s="2262">
        <f>SUMIF(G13:G197,"sb(sp)",I13:I197)</f>
        <v>1766.5</v>
      </c>
      <c r="J210" s="2261">
        <f t="shared" si="38"/>
        <v>23.300000000000182</v>
      </c>
      <c r="K210" s="307">
        <f>SUMIF(G13:G195,"sb(sp)",K13:K195)</f>
        <v>1782.9</v>
      </c>
      <c r="L210" s="285">
        <f>SUMIF(G13:G195,"sb(sp)",L13:L195)</f>
        <v>1782.9</v>
      </c>
      <c r="M210" s="283">
        <f>SUMIF(H13:H195,"sb(sp)",M13:M195)</f>
        <v>0</v>
      </c>
      <c r="N210" s="1581">
        <f>SUMIF(G13:G195,"sb(sp)",N13:N195)</f>
        <v>1803.3</v>
      </c>
      <c r="O210" s="2069"/>
      <c r="P210" s="2301"/>
      <c r="Q210" s="2301"/>
      <c r="R210" s="2301"/>
      <c r="S210" s="2301"/>
    </row>
    <row r="211" spans="1:19" s="2" customFormat="1" ht="29.25" customHeight="1" x14ac:dyDescent="0.25">
      <c r="A211" s="2302" t="s">
        <v>88</v>
      </c>
      <c r="B211" s="2303"/>
      <c r="C211" s="2303"/>
      <c r="D211" s="2303"/>
      <c r="E211" s="2303"/>
      <c r="F211" s="2303"/>
      <c r="G211" s="2304"/>
      <c r="H211" s="308">
        <f>SUMIF(G13:G197,"sb(vb)",H13:H197)</f>
        <v>4773.7000000000007</v>
      </c>
      <c r="I211" s="2263">
        <f>SUMIF(G13:G197,"sb(vb)",I13:I197)</f>
        <v>6151.4000000000005</v>
      </c>
      <c r="J211" s="2261">
        <f t="shared" si="38"/>
        <v>1377.6999999999998</v>
      </c>
      <c r="K211" s="308">
        <f>SUMIF(G13:G195,"sb(vb)",K13:K195)</f>
        <v>5941.7</v>
      </c>
      <c r="L211" s="914">
        <f>SUMIF(G13:G195,"sb(vb)",L13:L195)</f>
        <v>5941.7</v>
      </c>
      <c r="M211" s="1558">
        <f>+L211-K211</f>
        <v>0</v>
      </c>
      <c r="N211" s="1582">
        <f>SUMIF(G13:G195,"sb(vb)",N13:N195)</f>
        <v>5841.3</v>
      </c>
      <c r="O211" s="2073"/>
      <c r="P211" s="2301"/>
      <c r="Q211" s="2301"/>
      <c r="R211" s="2301"/>
      <c r="S211" s="2301"/>
    </row>
    <row r="212" spans="1:19" s="2" customFormat="1" ht="15.75" customHeight="1" x14ac:dyDescent="0.25">
      <c r="A212" s="2308" t="s">
        <v>165</v>
      </c>
      <c r="B212" s="2309"/>
      <c r="C212" s="2309"/>
      <c r="D212" s="2309"/>
      <c r="E212" s="2309"/>
      <c r="F212" s="2309"/>
      <c r="G212" s="2310"/>
      <c r="H212" s="1506">
        <f>SUMIF(G13:G197,"sb(l)",H13:H197)</f>
        <v>926.5</v>
      </c>
      <c r="I212" s="1504">
        <f>SUMIF(G13:G197,"sb(l)",I13:I197)</f>
        <v>926.5</v>
      </c>
      <c r="J212" s="1514">
        <f t="shared" si="38"/>
        <v>0</v>
      </c>
      <c r="K212" s="1506"/>
      <c r="L212" s="1504"/>
      <c r="M212" s="1539"/>
      <c r="N212" s="1583"/>
      <c r="O212" s="2073"/>
      <c r="P212" s="2073"/>
      <c r="Q212" s="2073"/>
      <c r="R212" s="2073"/>
      <c r="S212" s="2073"/>
    </row>
    <row r="213" spans="1:19" s="2" customFormat="1" ht="15.75" customHeight="1" x14ac:dyDescent="0.25">
      <c r="A213" s="2314" t="s">
        <v>342</v>
      </c>
      <c r="B213" s="2315"/>
      <c r="C213" s="2315"/>
      <c r="D213" s="2315"/>
      <c r="E213" s="2315"/>
      <c r="F213" s="2315"/>
      <c r="G213" s="2329"/>
      <c r="H213" s="1506">
        <f>SUMIF(G13:G198,"sb(spl)",H13:H198)</f>
        <v>891.4</v>
      </c>
      <c r="I213" s="1504">
        <f>SUMIF(G14:G198,"sb(spl)",I14:I198)</f>
        <v>891.4</v>
      </c>
      <c r="J213" s="1539">
        <f>SUMIF(G14:G198,"sb(spl)",J14:J198)</f>
        <v>0</v>
      </c>
      <c r="K213" s="1506"/>
      <c r="L213" s="1504"/>
      <c r="M213" s="1539"/>
      <c r="N213" s="1583"/>
      <c r="O213" s="2073"/>
      <c r="P213" s="2073"/>
      <c r="Q213" s="2073"/>
      <c r="R213" s="2073"/>
      <c r="S213" s="2073"/>
    </row>
    <row r="214" spans="1:19" s="2" customFormat="1" ht="17.25" customHeight="1" x14ac:dyDescent="0.25">
      <c r="A214" s="2308" t="s">
        <v>336</v>
      </c>
      <c r="B214" s="2309"/>
      <c r="C214" s="2309"/>
      <c r="D214" s="2309"/>
      <c r="E214" s="2309"/>
      <c r="F214" s="2309"/>
      <c r="G214" s="2310"/>
      <c r="H214" s="1506">
        <f>SUMIF(G11:G195,"sb(vbl)",H11:H195)</f>
        <v>34.6</v>
      </c>
      <c r="I214" s="1504">
        <f>SUMIF(G11:G195,"sb(vbl)",I11:I195)</f>
        <v>34.6</v>
      </c>
      <c r="J214" s="1514">
        <f>+I214-H214</f>
        <v>0</v>
      </c>
      <c r="K214" s="1506"/>
      <c r="L214" s="1504"/>
      <c r="M214" s="1539"/>
      <c r="N214" s="1583"/>
      <c r="O214" s="2073"/>
      <c r="P214" s="2073"/>
      <c r="Q214" s="2073"/>
      <c r="R214" s="2073"/>
      <c r="S214" s="2073"/>
    </row>
    <row r="215" spans="1:19" s="2" customFormat="1" ht="29.25" customHeight="1" x14ac:dyDescent="0.25">
      <c r="A215" s="2314" t="s">
        <v>324</v>
      </c>
      <c r="B215" s="2315"/>
      <c r="C215" s="2315"/>
      <c r="D215" s="2315"/>
      <c r="E215" s="2315"/>
      <c r="F215" s="2315"/>
      <c r="G215" s="2329"/>
      <c r="H215" s="1506">
        <f>SUMIF(G13:G197,"sb(fl)",H13:H197)</f>
        <v>511.5</v>
      </c>
      <c r="I215" s="1504">
        <f>SUMIF(G14:G198,"sb(fl)",I14:I198)</f>
        <v>511.5</v>
      </c>
      <c r="J215" s="1514">
        <f t="shared" si="38"/>
        <v>0</v>
      </c>
      <c r="K215" s="1506">
        <f>SUMIF(G15:G199,"sb(fl)",K15:K199)</f>
        <v>77.5</v>
      </c>
      <c r="L215" s="1504">
        <f>SUMIF(G15:G199,"sb(fl)",L15:L199)</f>
        <v>77.5</v>
      </c>
      <c r="M215" s="1539">
        <f>SUMIF(H15:H199,"sb(fl)",M15:M199)</f>
        <v>0</v>
      </c>
      <c r="N215" s="1583">
        <f>SUMIF(G15:G199,"sb(fl)",N15:N199)</f>
        <v>0</v>
      </c>
      <c r="O215" s="2073"/>
      <c r="P215" s="2073"/>
      <c r="Q215" s="2073"/>
      <c r="R215" s="2073"/>
      <c r="S215" s="2073"/>
    </row>
    <row r="216" spans="1:19" s="2" customFormat="1" ht="29.25" customHeight="1" x14ac:dyDescent="0.25">
      <c r="A216" s="2273" t="s">
        <v>337</v>
      </c>
      <c r="B216" s="2274"/>
      <c r="C216" s="2274"/>
      <c r="D216" s="2274"/>
      <c r="E216" s="2274"/>
      <c r="F216" s="2274"/>
      <c r="G216" s="2275"/>
      <c r="H216" s="1515">
        <f>SUMIF(G13:G198,"sb(esl)",H13:H198)</f>
        <v>375</v>
      </c>
      <c r="I216" s="1516">
        <f>SUMIF(G14:G198,"sb(esl)",I14:I198)</f>
        <v>375</v>
      </c>
      <c r="J216" s="1517">
        <f>SUMIF(G14:G198,"sb(esl)",J14:J198)</f>
        <v>0</v>
      </c>
      <c r="K216" s="1515"/>
      <c r="L216" s="1516"/>
      <c r="M216" s="1517"/>
      <c r="N216" s="1584"/>
      <c r="O216" s="2073"/>
      <c r="P216" s="2073"/>
      <c r="Q216" s="2073"/>
      <c r="R216" s="2073"/>
      <c r="S216" s="2073"/>
    </row>
    <row r="217" spans="1:19" s="2" customFormat="1" ht="15.75" customHeight="1" x14ac:dyDescent="0.25">
      <c r="A217" s="2568" t="s">
        <v>89</v>
      </c>
      <c r="B217" s="2569"/>
      <c r="C217" s="2569"/>
      <c r="D217" s="2569"/>
      <c r="E217" s="2569"/>
      <c r="F217" s="2569"/>
      <c r="G217" s="2569"/>
      <c r="H217" s="1519">
        <f>SUM(H218:H220)</f>
        <v>27341.5</v>
      </c>
      <c r="I217" s="1520">
        <f>SUM(I218:I220)</f>
        <v>27293.199999999997</v>
      </c>
      <c r="J217" s="1520">
        <f>SUM(J218:J220)</f>
        <v>-48.30000000000291</v>
      </c>
      <c r="K217" s="1519">
        <f t="shared" ref="K217:N217" si="39">SUM(K218:K220)</f>
        <v>26961.199999999997</v>
      </c>
      <c r="L217" s="1520">
        <f t="shared" ref="L217:M217" si="40">SUM(L218:L220)</f>
        <v>26961.199999999997</v>
      </c>
      <c r="M217" s="1559">
        <f t="shared" si="40"/>
        <v>0</v>
      </c>
      <c r="N217" s="1585">
        <f t="shared" si="39"/>
        <v>26964.199999999997</v>
      </c>
      <c r="O217" s="2073"/>
      <c r="P217" s="2073"/>
      <c r="Q217" s="2073"/>
      <c r="R217" s="2073"/>
      <c r="S217" s="2073"/>
    </row>
    <row r="218" spans="1:19" s="2" customFormat="1" ht="15.75" customHeight="1" x14ac:dyDescent="0.25">
      <c r="A218" s="2298" t="s">
        <v>145</v>
      </c>
      <c r="B218" s="2299"/>
      <c r="C218" s="2299"/>
      <c r="D218" s="2299"/>
      <c r="E218" s="2299"/>
      <c r="F218" s="2299"/>
      <c r="G218" s="2300"/>
      <c r="H218" s="827">
        <f>SUMIF(G13:G197,"es",H13:H197)</f>
        <v>103.2</v>
      </c>
      <c r="I218" s="837">
        <f>SUMIF(G13:G197,"es",I13:I197)</f>
        <v>103.2</v>
      </c>
      <c r="J218" s="994"/>
      <c r="K218" s="827">
        <f>SUMIF(G13:G195,"es",K13:K195)</f>
        <v>0</v>
      </c>
      <c r="L218" s="837">
        <f>SUMIF(G13:G195,"es",L13:L195)</f>
        <v>0</v>
      </c>
      <c r="M218" s="994">
        <f>SUMIF(H13:H195,"es",M13:M195)</f>
        <v>0</v>
      </c>
      <c r="N218" s="1586">
        <f>SUMIF(G13:G195,"es",N13:N195)</f>
        <v>0</v>
      </c>
      <c r="O218" s="143"/>
      <c r="P218" s="2279"/>
      <c r="Q218" s="2279"/>
      <c r="R218" s="2279"/>
      <c r="S218" s="2279"/>
    </row>
    <row r="219" spans="1:19" s="2" customFormat="1" ht="15.75" customHeight="1" x14ac:dyDescent="0.25">
      <c r="A219" s="2298" t="s">
        <v>90</v>
      </c>
      <c r="B219" s="2299"/>
      <c r="C219" s="2299"/>
      <c r="D219" s="2299"/>
      <c r="E219" s="2299"/>
      <c r="F219" s="2299"/>
      <c r="G219" s="2300"/>
      <c r="H219" s="827">
        <f>SUMIF(G13:G197,"lrvb",H13:H197)</f>
        <v>27233.3</v>
      </c>
      <c r="I219" s="2262">
        <f>SUMIF(G13:G197,"lrvb",I13:I197)</f>
        <v>27184.999999999996</v>
      </c>
      <c r="J219" s="2265">
        <f>+I219-H219</f>
        <v>-48.30000000000291</v>
      </c>
      <c r="K219" s="827">
        <f>SUMIF(G13:G195,"lrvb",K13:K195)</f>
        <v>26955.199999999997</v>
      </c>
      <c r="L219" s="837">
        <f>SUMIF(G13:G195,"lrvb",L13:L195)</f>
        <v>26955.199999999997</v>
      </c>
      <c r="M219" s="994">
        <f>SUMIF(H13:H195,"lrvb",M13:M195)</f>
        <v>0</v>
      </c>
      <c r="N219" s="1586">
        <f>SUMIF(G13:G195,"lrvb",N13:N195)</f>
        <v>26957.199999999997</v>
      </c>
      <c r="O219" s="87"/>
      <c r="P219" s="2301"/>
      <c r="Q219" s="2301"/>
      <c r="R219" s="2301"/>
      <c r="S219" s="2301"/>
    </row>
    <row r="220" spans="1:19" s="2" customFormat="1" ht="15.75" customHeight="1" x14ac:dyDescent="0.25">
      <c r="A220" s="2302" t="s">
        <v>91</v>
      </c>
      <c r="B220" s="2303"/>
      <c r="C220" s="2303"/>
      <c r="D220" s="2303"/>
      <c r="E220" s="2303"/>
      <c r="F220" s="2303"/>
      <c r="G220" s="2304"/>
      <c r="H220" s="309">
        <f>SUMIF(G13:G197,"kt",H13:H197)</f>
        <v>5</v>
      </c>
      <c r="I220" s="311">
        <f>SUMIF(G13:G197,"kt",I13:I197)</f>
        <v>5</v>
      </c>
      <c r="J220" s="284"/>
      <c r="K220" s="309">
        <f>SUMIF(G13:G195,"kt",K13:K195)</f>
        <v>6</v>
      </c>
      <c r="L220" s="311">
        <f>SUMIF(G13:G195,"kt",L13:L195)</f>
        <v>6</v>
      </c>
      <c r="M220" s="284">
        <f>SUMIF(H13:H195,"kt",M13:M195)</f>
        <v>0</v>
      </c>
      <c r="N220" s="1587">
        <f>SUMIF(G13:G195,"kt",N13:N195)</f>
        <v>7</v>
      </c>
      <c r="O220" s="87"/>
      <c r="P220" s="2301"/>
      <c r="Q220" s="2301"/>
      <c r="R220" s="2301"/>
      <c r="S220" s="2301"/>
    </row>
    <row r="221" spans="1:19" s="2" customFormat="1" ht="15.75" customHeight="1" thickBot="1" x14ac:dyDescent="0.3">
      <c r="A221" s="2562" t="s">
        <v>92</v>
      </c>
      <c r="B221" s="2563"/>
      <c r="C221" s="2563"/>
      <c r="D221" s="2563"/>
      <c r="E221" s="2563"/>
      <c r="F221" s="2563"/>
      <c r="G221" s="2564"/>
      <c r="H221" s="603">
        <f t="shared" ref="H221:N221" si="41">H204+H217</f>
        <v>50225.100000000006</v>
      </c>
      <c r="I221" s="619">
        <f t="shared" si="41"/>
        <v>50177.2</v>
      </c>
      <c r="J221" s="619">
        <f t="shared" si="41"/>
        <v>-47.90000000000191</v>
      </c>
      <c r="K221" s="603">
        <f t="shared" si="41"/>
        <v>45713.2</v>
      </c>
      <c r="L221" s="619">
        <f t="shared" si="41"/>
        <v>47425.599999999991</v>
      </c>
      <c r="M221" s="604">
        <f t="shared" si="41"/>
        <v>1712.4</v>
      </c>
      <c r="N221" s="1588">
        <f t="shared" si="41"/>
        <v>45742.5</v>
      </c>
      <c r="O221" s="142"/>
      <c r="P221" s="2279"/>
      <c r="Q221" s="2279"/>
      <c r="R221" s="2279"/>
      <c r="S221" s="2279"/>
    </row>
    <row r="222" spans="1:19" x14ac:dyDescent="0.25">
      <c r="F222" s="2280" t="s">
        <v>257</v>
      </c>
      <c r="G222" s="2281"/>
      <c r="H222" s="2281"/>
      <c r="I222" s="2281"/>
      <c r="J222" s="2281"/>
      <c r="K222" s="2281"/>
      <c r="L222" s="2281"/>
      <c r="M222" s="2281"/>
      <c r="N222" s="2281"/>
    </row>
    <row r="223" spans="1:19" x14ac:dyDescent="0.25">
      <c r="H223" s="146"/>
      <c r="I223" s="146"/>
      <c r="J223" s="146"/>
    </row>
    <row r="224" spans="1:19" x14ac:dyDescent="0.25">
      <c r="H224" s="146"/>
      <c r="I224" s="146"/>
      <c r="J224" s="146"/>
    </row>
    <row r="225" spans="8:25" x14ac:dyDescent="0.25">
      <c r="I225" s="146"/>
      <c r="Y225" s="1281"/>
    </row>
    <row r="226" spans="8:25" x14ac:dyDescent="0.25">
      <c r="I226" s="146"/>
      <c r="J226" s="146"/>
    </row>
    <row r="227" spans="8:25" x14ac:dyDescent="0.25">
      <c r="H227" s="146"/>
      <c r="I227" s="146"/>
      <c r="J227" s="146"/>
      <c r="N227" s="146"/>
    </row>
    <row r="229" spans="8:25" x14ac:dyDescent="0.25">
      <c r="H229" s="146"/>
      <c r="I229" s="146"/>
      <c r="J229" s="146"/>
      <c r="K229" s="146"/>
      <c r="L229" s="146"/>
      <c r="M229" s="146"/>
      <c r="N229" s="146"/>
    </row>
  </sheetData>
  <mergeCells count="233">
    <mergeCell ref="S45:S46"/>
    <mergeCell ref="S61:S62"/>
    <mergeCell ref="S65:S67"/>
    <mergeCell ref="S107:S108"/>
    <mergeCell ref="S22:S24"/>
    <mergeCell ref="N1:S1"/>
    <mergeCell ref="A2:S2"/>
    <mergeCell ref="A3:S3"/>
    <mergeCell ref="A4:S4"/>
    <mergeCell ref="A5:S5"/>
    <mergeCell ref="A6:A8"/>
    <mergeCell ref="B6:B8"/>
    <mergeCell ref="C6:C8"/>
    <mergeCell ref="D6:D8"/>
    <mergeCell ref="E6:E8"/>
    <mergeCell ref="N6:N8"/>
    <mergeCell ref="O7:O8"/>
    <mergeCell ref="F6:F8"/>
    <mergeCell ref="G6:G8"/>
    <mergeCell ref="H6:H8"/>
    <mergeCell ref="I6:I8"/>
    <mergeCell ref="J6:J8"/>
    <mergeCell ref="K6:K8"/>
    <mergeCell ref="P7:R7"/>
    <mergeCell ref="O6:R6"/>
    <mergeCell ref="S6:S8"/>
    <mergeCell ref="M6:M8"/>
    <mergeCell ref="L6:L8"/>
    <mergeCell ref="A9:S9"/>
    <mergeCell ref="A10:S10"/>
    <mergeCell ref="A28:A29"/>
    <mergeCell ref="B28:B29"/>
    <mergeCell ref="D28:D29"/>
    <mergeCell ref="E28:E29"/>
    <mergeCell ref="D22:D23"/>
    <mergeCell ref="E22:E23"/>
    <mergeCell ref="O22:O23"/>
    <mergeCell ref="D24:D25"/>
    <mergeCell ref="O24:O25"/>
    <mergeCell ref="D26:D27"/>
    <mergeCell ref="E26:E27"/>
    <mergeCell ref="O26:O27"/>
    <mergeCell ref="S26:S27"/>
    <mergeCell ref="P24:P25"/>
    <mergeCell ref="B11:S11"/>
    <mergeCell ref="C12:S12"/>
    <mergeCell ref="D13:D17"/>
    <mergeCell ref="O13:O14"/>
    <mergeCell ref="O15:O16"/>
    <mergeCell ref="D18:D21"/>
    <mergeCell ref="O20:O21"/>
    <mergeCell ref="S20:S21"/>
    <mergeCell ref="D34:D35"/>
    <mergeCell ref="E34:E35"/>
    <mergeCell ref="F34:F35"/>
    <mergeCell ref="O34:O35"/>
    <mergeCell ref="S28:S29"/>
    <mergeCell ref="S34:S35"/>
    <mergeCell ref="D36:D37"/>
    <mergeCell ref="E36:E37"/>
    <mergeCell ref="F36:F37"/>
    <mergeCell ref="O36:O37"/>
    <mergeCell ref="A30:A31"/>
    <mergeCell ref="B30:B31"/>
    <mergeCell ref="D30:D33"/>
    <mergeCell ref="E30:E33"/>
    <mergeCell ref="F30:F33"/>
    <mergeCell ref="D43:D44"/>
    <mergeCell ref="O43:O44"/>
    <mergeCell ref="A45:A46"/>
    <mergeCell ref="B45:B46"/>
    <mergeCell ref="C45:C46"/>
    <mergeCell ref="D45:D46"/>
    <mergeCell ref="O45:O46"/>
    <mergeCell ref="D39:D40"/>
    <mergeCell ref="E40:G40"/>
    <mergeCell ref="A41:A42"/>
    <mergeCell ref="B41:B42"/>
    <mergeCell ref="C41:C42"/>
    <mergeCell ref="D41:D42"/>
    <mergeCell ref="E41:E42"/>
    <mergeCell ref="F41:F42"/>
    <mergeCell ref="C51:S51"/>
    <mergeCell ref="D52:D53"/>
    <mergeCell ref="E52:E65"/>
    <mergeCell ref="D61:D62"/>
    <mergeCell ref="D63:D64"/>
    <mergeCell ref="O63:O64"/>
    <mergeCell ref="F87:F89"/>
    <mergeCell ref="A47:A49"/>
    <mergeCell ref="B47:B49"/>
    <mergeCell ref="C47:C49"/>
    <mergeCell ref="D47:D49"/>
    <mergeCell ref="O48:O49"/>
    <mergeCell ref="C50:G50"/>
    <mergeCell ref="O50:S50"/>
    <mergeCell ref="S52:S60"/>
    <mergeCell ref="O99:O100"/>
    <mergeCell ref="D101:D102"/>
    <mergeCell ref="D72:D73"/>
    <mergeCell ref="O72:O73"/>
    <mergeCell ref="D78:D79"/>
    <mergeCell ref="D85:D86"/>
    <mergeCell ref="O85:O86"/>
    <mergeCell ref="A87:A89"/>
    <mergeCell ref="B87:B89"/>
    <mergeCell ref="C87:C89"/>
    <mergeCell ref="D87:D89"/>
    <mergeCell ref="E87:E89"/>
    <mergeCell ref="A107:A108"/>
    <mergeCell ref="B107:B108"/>
    <mergeCell ref="C107:C108"/>
    <mergeCell ref="D107:D108"/>
    <mergeCell ref="E107:E108"/>
    <mergeCell ref="F107:F108"/>
    <mergeCell ref="D92:D94"/>
    <mergeCell ref="D95:D96"/>
    <mergeCell ref="D97:D100"/>
    <mergeCell ref="C133:C137"/>
    <mergeCell ref="O107:O108"/>
    <mergeCell ref="D109:D110"/>
    <mergeCell ref="D113:D114"/>
    <mergeCell ref="D118:D119"/>
    <mergeCell ref="O118:O119"/>
    <mergeCell ref="D120:D121"/>
    <mergeCell ref="E120:E123"/>
    <mergeCell ref="D106:G106"/>
    <mergeCell ref="D133:D137"/>
    <mergeCell ref="E133:E137"/>
    <mergeCell ref="F133:F137"/>
    <mergeCell ref="A123:A124"/>
    <mergeCell ref="B123:B124"/>
    <mergeCell ref="D123:D125"/>
    <mergeCell ref="O123:O124"/>
    <mergeCell ref="A126:A129"/>
    <mergeCell ref="B126:B129"/>
    <mergeCell ref="D126:D130"/>
    <mergeCell ref="O129:O130"/>
    <mergeCell ref="F131:F132"/>
    <mergeCell ref="O131:O132"/>
    <mergeCell ref="D131:D132"/>
    <mergeCell ref="A221:G221"/>
    <mergeCell ref="P221:S221"/>
    <mergeCell ref="F222:N222"/>
    <mergeCell ref="AA65:AN65"/>
    <mergeCell ref="A217:G217"/>
    <mergeCell ref="A218:G218"/>
    <mergeCell ref="P218:S218"/>
    <mergeCell ref="A219:G219"/>
    <mergeCell ref="P219:S219"/>
    <mergeCell ref="A220:G220"/>
    <mergeCell ref="P220:S220"/>
    <mergeCell ref="A214:G214"/>
    <mergeCell ref="A208:G208"/>
    <mergeCell ref="A209:G209"/>
    <mergeCell ref="A210:G210"/>
    <mergeCell ref="P210:S210"/>
    <mergeCell ref="A211:G211"/>
    <mergeCell ref="P211:S211"/>
    <mergeCell ref="A204:G204"/>
    <mergeCell ref="P204:S204"/>
    <mergeCell ref="A206:G206"/>
    <mergeCell ref="O199:S199"/>
    <mergeCell ref="D181:D183"/>
    <mergeCell ref="D161:D162"/>
    <mergeCell ref="A216:G216"/>
    <mergeCell ref="S30:S33"/>
    <mergeCell ref="O30:O32"/>
    <mergeCell ref="S148:S149"/>
    <mergeCell ref="S164:S165"/>
    <mergeCell ref="A205:G205"/>
    <mergeCell ref="C200:G200"/>
    <mergeCell ref="O200:S200"/>
    <mergeCell ref="B201:G201"/>
    <mergeCell ref="O201:S201"/>
    <mergeCell ref="A202:N202"/>
    <mergeCell ref="A203:G203"/>
    <mergeCell ref="P203:S203"/>
    <mergeCell ref="D190:D191"/>
    <mergeCell ref="O190:O191"/>
    <mergeCell ref="D193:D195"/>
    <mergeCell ref="O193:O195"/>
    <mergeCell ref="D197:D198"/>
    <mergeCell ref="O175:O179"/>
    <mergeCell ref="D180:G180"/>
    <mergeCell ref="S174:S180"/>
    <mergeCell ref="E161:E162"/>
    <mergeCell ref="D167:G167"/>
    <mergeCell ref="O167:S167"/>
    <mergeCell ref="A215:G215"/>
    <mergeCell ref="C168:G168"/>
    <mergeCell ref="O168:S168"/>
    <mergeCell ref="C145:G145"/>
    <mergeCell ref="O145:S145"/>
    <mergeCell ref="C146:S146"/>
    <mergeCell ref="D148:D149"/>
    <mergeCell ref="E181:E184"/>
    <mergeCell ref="D184:D185"/>
    <mergeCell ref="D186:D187"/>
    <mergeCell ref="O186:O187"/>
    <mergeCell ref="D188:D189"/>
    <mergeCell ref="O188:O189"/>
    <mergeCell ref="C169:S169"/>
    <mergeCell ref="D171:D173"/>
    <mergeCell ref="D174:D179"/>
    <mergeCell ref="E174:E178"/>
    <mergeCell ref="D158:D160"/>
    <mergeCell ref="S158:S160"/>
    <mergeCell ref="A213:G213"/>
    <mergeCell ref="A133:A137"/>
    <mergeCell ref="B133:B137"/>
    <mergeCell ref="S36:S37"/>
    <mergeCell ref="S127:S129"/>
    <mergeCell ref="S13:S17"/>
    <mergeCell ref="C199:G199"/>
    <mergeCell ref="A212:G212"/>
    <mergeCell ref="A207:G207"/>
    <mergeCell ref="P206:S206"/>
    <mergeCell ref="S181:S183"/>
    <mergeCell ref="S133:S137"/>
    <mergeCell ref="O138:O139"/>
    <mergeCell ref="A142:A144"/>
    <mergeCell ref="B142:B144"/>
    <mergeCell ref="C142:C144"/>
    <mergeCell ref="D142:D144"/>
    <mergeCell ref="E142:E144"/>
    <mergeCell ref="F142:F144"/>
    <mergeCell ref="A138:A141"/>
    <mergeCell ref="B138:B141"/>
    <mergeCell ref="C138:C141"/>
    <mergeCell ref="D138:D141"/>
    <mergeCell ref="E138:E141"/>
    <mergeCell ref="F138:F141"/>
  </mergeCells>
  <printOptions horizontalCentered="1"/>
  <pageMargins left="0.31496062992125984" right="0" top="0.74803149606299213" bottom="0.35433070866141736" header="0.31496062992125984" footer="0.31496062992125984"/>
  <pageSetup paperSize="9" scale="81" orientation="landscape" r:id="rId1"/>
  <rowBreaks count="12" manualBreakCount="12">
    <brk id="21" max="18" man="1"/>
    <brk id="33" max="18" man="1"/>
    <brk id="46" max="18" man="1"/>
    <brk id="68" max="18" man="1"/>
    <brk id="84" max="18" man="1"/>
    <brk id="104" max="18" man="1"/>
    <brk id="114" max="18" man="1"/>
    <brk id="125" max="18" man="1"/>
    <brk id="147" max="18" man="1"/>
    <brk id="166" max="18" man="1"/>
    <brk id="189" max="18" man="1"/>
    <brk id="201"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zoomScaleNormal="100" workbookViewId="0">
      <selection activeCell="T14" sqref="T14"/>
    </sheetView>
  </sheetViews>
  <sheetFormatPr defaultColWidth="9.140625" defaultRowHeight="15" x14ac:dyDescent="0.25"/>
  <cols>
    <col min="1" max="4" width="3.28515625" style="123" customWidth="1"/>
    <col min="5" max="5" width="25.28515625" style="121" customWidth="1"/>
    <col min="6" max="6" width="3.28515625" style="1994" customWidth="1"/>
    <col min="7" max="7" width="3.140625" style="1995" customWidth="1"/>
    <col min="8" max="8" width="13" style="1994" customWidth="1"/>
    <col min="9" max="9" width="8.5703125" style="121" customWidth="1"/>
    <col min="10" max="13" width="8.140625" style="123" customWidth="1"/>
    <col min="14" max="14" width="24.28515625" style="121" customWidth="1"/>
    <col min="15" max="16" width="6" style="1107" customWidth="1"/>
    <col min="17" max="18" width="5.85546875" style="1107" customWidth="1"/>
    <col min="19" max="16384" width="9.140625" style="121"/>
  </cols>
  <sheetData>
    <row r="1" spans="1:23" s="215" customFormat="1" ht="34.5" customHeight="1" x14ac:dyDescent="0.25">
      <c r="A1" s="212"/>
      <c r="B1" s="212"/>
      <c r="C1" s="212"/>
      <c r="D1" s="212"/>
      <c r="E1" s="212"/>
      <c r="F1" s="213"/>
      <c r="G1" s="395"/>
      <c r="H1" s="395"/>
      <c r="I1" s="214"/>
      <c r="J1" s="214"/>
      <c r="K1" s="399"/>
      <c r="L1" s="2602" t="s">
        <v>357</v>
      </c>
      <c r="M1" s="2602"/>
      <c r="N1" s="2602"/>
      <c r="O1" s="2602"/>
      <c r="P1" s="2602"/>
      <c r="Q1" s="2602"/>
      <c r="R1" s="2602"/>
    </row>
    <row r="2" spans="1:23" s="118" customFormat="1" ht="16.5" customHeight="1" x14ac:dyDescent="0.25">
      <c r="A2" s="2521" t="s">
        <v>314</v>
      </c>
      <c r="B2" s="2521"/>
      <c r="C2" s="2521"/>
      <c r="D2" s="2521"/>
      <c r="E2" s="2521"/>
      <c r="F2" s="2521"/>
      <c r="G2" s="2521"/>
      <c r="H2" s="2521"/>
      <c r="I2" s="2521"/>
      <c r="J2" s="2521"/>
      <c r="K2" s="2521"/>
      <c r="L2" s="2521"/>
      <c r="M2" s="2521"/>
      <c r="N2" s="2521"/>
      <c r="O2" s="2521"/>
      <c r="P2" s="2521"/>
      <c r="Q2" s="2521"/>
      <c r="R2" s="2521"/>
    </row>
    <row r="3" spans="1:23" s="119" customFormat="1" ht="16.5" customHeight="1" x14ac:dyDescent="0.25">
      <c r="A3" s="2522" t="s">
        <v>0</v>
      </c>
      <c r="B3" s="2522"/>
      <c r="C3" s="2522"/>
      <c r="D3" s="2522"/>
      <c r="E3" s="2522"/>
      <c r="F3" s="2522"/>
      <c r="G3" s="2522"/>
      <c r="H3" s="2522"/>
      <c r="I3" s="2522"/>
      <c r="J3" s="2522"/>
      <c r="K3" s="2522"/>
      <c r="L3" s="2522"/>
      <c r="M3" s="2522"/>
      <c r="N3" s="2522"/>
      <c r="O3" s="2522"/>
      <c r="P3" s="2522"/>
      <c r="Q3" s="2522"/>
      <c r="R3" s="2522"/>
    </row>
    <row r="4" spans="1:23" s="119" customFormat="1" ht="16.5" customHeight="1" x14ac:dyDescent="0.25">
      <c r="A4" s="2523" t="s">
        <v>1</v>
      </c>
      <c r="B4" s="2523"/>
      <c r="C4" s="2523"/>
      <c r="D4" s="2523"/>
      <c r="E4" s="2523"/>
      <c r="F4" s="2523"/>
      <c r="G4" s="2523"/>
      <c r="H4" s="2523"/>
      <c r="I4" s="2523"/>
      <c r="J4" s="2523"/>
      <c r="K4" s="2523"/>
      <c r="L4" s="2523"/>
      <c r="M4" s="2523"/>
      <c r="N4" s="2523"/>
      <c r="O4" s="2523"/>
      <c r="P4" s="2523"/>
      <c r="Q4" s="2523"/>
      <c r="R4" s="2523"/>
    </row>
    <row r="5" spans="1:23" s="2" customFormat="1" ht="21.75" customHeight="1" thickBot="1" x14ac:dyDescent="0.25">
      <c r="A5" s="2524" t="s">
        <v>2</v>
      </c>
      <c r="B5" s="2524"/>
      <c r="C5" s="2524"/>
      <c r="D5" s="2524"/>
      <c r="E5" s="2524"/>
      <c r="F5" s="2524"/>
      <c r="G5" s="2524"/>
      <c r="H5" s="2524"/>
      <c r="I5" s="2524"/>
      <c r="J5" s="2524"/>
      <c r="K5" s="2524"/>
      <c r="L5" s="2524"/>
      <c r="M5" s="2524"/>
      <c r="N5" s="2524"/>
      <c r="O5" s="2524"/>
      <c r="P5" s="2524"/>
      <c r="Q5" s="2524"/>
      <c r="R5" s="2524"/>
    </row>
    <row r="6" spans="1:23" s="3" customFormat="1" ht="18.75" customHeight="1" x14ac:dyDescent="0.25">
      <c r="A6" s="2525" t="s">
        <v>3</v>
      </c>
      <c r="B6" s="2528" t="s">
        <v>4</v>
      </c>
      <c r="C6" s="2531" t="s">
        <v>5</v>
      </c>
      <c r="D6" s="2531" t="s">
        <v>344</v>
      </c>
      <c r="E6" s="2534" t="s">
        <v>6</v>
      </c>
      <c r="F6" s="2537" t="s">
        <v>7</v>
      </c>
      <c r="G6" s="2506" t="s">
        <v>8</v>
      </c>
      <c r="H6" s="2614" t="s">
        <v>346</v>
      </c>
      <c r="I6" s="2509" t="s">
        <v>9</v>
      </c>
      <c r="J6" s="2608" t="s">
        <v>359</v>
      </c>
      <c r="K6" s="2611" t="s">
        <v>183</v>
      </c>
      <c r="L6" s="2603" t="s">
        <v>299</v>
      </c>
      <c r="M6" s="2605" t="s">
        <v>355</v>
      </c>
      <c r="N6" s="2490" t="s">
        <v>10</v>
      </c>
      <c r="O6" s="2491"/>
      <c r="P6" s="2491"/>
      <c r="Q6" s="2491"/>
      <c r="R6" s="2492"/>
    </row>
    <row r="7" spans="1:23" s="3" customFormat="1" ht="17.25" customHeight="1" x14ac:dyDescent="0.25">
      <c r="A7" s="2526"/>
      <c r="B7" s="2529"/>
      <c r="C7" s="2532"/>
      <c r="D7" s="2532"/>
      <c r="E7" s="2535"/>
      <c r="F7" s="2538"/>
      <c r="G7" s="2507"/>
      <c r="H7" s="2615"/>
      <c r="I7" s="2510"/>
      <c r="J7" s="2609"/>
      <c r="K7" s="2612"/>
      <c r="L7" s="2604"/>
      <c r="M7" s="2606"/>
      <c r="N7" s="2493" t="s">
        <v>6</v>
      </c>
      <c r="O7" s="2495" t="s">
        <v>11</v>
      </c>
      <c r="P7" s="2496"/>
      <c r="Q7" s="2496"/>
      <c r="R7" s="2497"/>
    </row>
    <row r="8" spans="1:23" s="3" customFormat="1" ht="82.5" customHeight="1" thickBot="1" x14ac:dyDescent="0.3">
      <c r="A8" s="2527"/>
      <c r="B8" s="2530"/>
      <c r="C8" s="2533"/>
      <c r="D8" s="2533"/>
      <c r="E8" s="2536"/>
      <c r="F8" s="2539"/>
      <c r="G8" s="2508"/>
      <c r="H8" s="2616"/>
      <c r="I8" s="2511"/>
      <c r="J8" s="2610"/>
      <c r="K8" s="2613"/>
      <c r="L8" s="2604"/>
      <c r="M8" s="2607"/>
      <c r="N8" s="2494"/>
      <c r="O8" s="1305" t="s">
        <v>132</v>
      </c>
      <c r="P8" s="4" t="s">
        <v>184</v>
      </c>
      <c r="Q8" s="1531" t="s">
        <v>302</v>
      </c>
      <c r="R8" s="1790" t="s">
        <v>354</v>
      </c>
    </row>
    <row r="9" spans="1:23" s="2" customFormat="1" ht="16.5" customHeight="1" x14ac:dyDescent="0.25">
      <c r="A9" s="2498" t="s">
        <v>13</v>
      </c>
      <c r="B9" s="2499"/>
      <c r="C9" s="2499"/>
      <c r="D9" s="2499"/>
      <c r="E9" s="2499"/>
      <c r="F9" s="2499"/>
      <c r="G9" s="2499"/>
      <c r="H9" s="2499"/>
      <c r="I9" s="2499"/>
      <c r="J9" s="2499"/>
      <c r="K9" s="2499"/>
      <c r="L9" s="2499"/>
      <c r="M9" s="2499"/>
      <c r="N9" s="2499"/>
      <c r="O9" s="2499"/>
      <c r="P9" s="2499"/>
      <c r="Q9" s="2499"/>
      <c r="R9" s="2500"/>
      <c r="W9" s="3"/>
    </row>
    <row r="10" spans="1:23" s="2" customFormat="1" ht="16.5" customHeight="1" x14ac:dyDescent="0.25">
      <c r="A10" s="2501" t="s">
        <v>14</v>
      </c>
      <c r="B10" s="2502"/>
      <c r="C10" s="2502"/>
      <c r="D10" s="2502"/>
      <c r="E10" s="2502"/>
      <c r="F10" s="2502"/>
      <c r="G10" s="2502"/>
      <c r="H10" s="2502"/>
      <c r="I10" s="2502"/>
      <c r="J10" s="2502"/>
      <c r="K10" s="2502"/>
      <c r="L10" s="2502"/>
      <c r="M10" s="2502"/>
      <c r="N10" s="2502"/>
      <c r="O10" s="2502"/>
      <c r="P10" s="2502"/>
      <c r="Q10" s="2502"/>
      <c r="R10" s="2503"/>
      <c r="S10" s="3"/>
    </row>
    <row r="11" spans="1:23" s="3" customFormat="1" ht="16.5" customHeight="1" thickBot="1" x14ac:dyDescent="0.3">
      <c r="A11" s="1503" t="s">
        <v>15</v>
      </c>
      <c r="B11" s="2504" t="s">
        <v>16</v>
      </c>
      <c r="C11" s="2504"/>
      <c r="D11" s="2504"/>
      <c r="E11" s="2504"/>
      <c r="F11" s="2504"/>
      <c r="G11" s="2504"/>
      <c r="H11" s="2504"/>
      <c r="I11" s="2504"/>
      <c r="J11" s="2504"/>
      <c r="K11" s="2504"/>
      <c r="L11" s="2504"/>
      <c r="M11" s="2504"/>
      <c r="N11" s="2504"/>
      <c r="O11" s="2504"/>
      <c r="P11" s="2504"/>
      <c r="Q11" s="2504"/>
      <c r="R11" s="2505"/>
    </row>
    <row r="12" spans="1:23" s="2" customFormat="1" ht="14.25" customHeight="1" thickBot="1" x14ac:dyDescent="0.3">
      <c r="A12" s="578" t="s">
        <v>15</v>
      </c>
      <c r="B12" s="5" t="s">
        <v>39</v>
      </c>
      <c r="C12" s="2372" t="s">
        <v>64</v>
      </c>
      <c r="D12" s="2372"/>
      <c r="E12" s="2372"/>
      <c r="F12" s="2372"/>
      <c r="G12" s="2372"/>
      <c r="H12" s="2372"/>
      <c r="I12" s="2372"/>
      <c r="J12" s="2372"/>
      <c r="K12" s="2372"/>
      <c r="L12" s="2372"/>
      <c r="M12" s="2372"/>
      <c r="N12" s="2372"/>
      <c r="O12" s="2372"/>
      <c r="P12" s="2372"/>
      <c r="Q12" s="2372"/>
      <c r="R12" s="2373"/>
    </row>
    <row r="13" spans="1:23" s="3" customFormat="1" ht="54.75" customHeight="1" x14ac:dyDescent="0.25">
      <c r="A13" s="1985" t="s">
        <v>15</v>
      </c>
      <c r="B13" s="1987" t="s">
        <v>39</v>
      </c>
      <c r="C13" s="1752" t="s">
        <v>15</v>
      </c>
      <c r="D13" s="1753"/>
      <c r="E13" s="147" t="s">
        <v>65</v>
      </c>
      <c r="F13" s="125"/>
      <c r="G13" s="150"/>
      <c r="H13" s="1769"/>
      <c r="I13" s="630"/>
      <c r="J13" s="1601"/>
      <c r="K13" s="1935"/>
      <c r="L13" s="271"/>
      <c r="M13" s="1943"/>
      <c r="N13" s="192"/>
      <c r="O13" s="2013"/>
      <c r="P13" s="376"/>
      <c r="Q13" s="1197"/>
      <c r="R13" s="388"/>
    </row>
    <row r="14" spans="1:23" s="48" customFormat="1" ht="21.75" customHeight="1" x14ac:dyDescent="0.25">
      <c r="A14" s="583"/>
      <c r="B14" s="152"/>
      <c r="C14" s="153"/>
      <c r="D14" s="1757" t="s">
        <v>15</v>
      </c>
      <c r="E14" s="2370" t="s">
        <v>126</v>
      </c>
      <c r="F14" s="684" t="s">
        <v>66</v>
      </c>
      <c r="G14" s="411">
        <v>1</v>
      </c>
      <c r="H14" s="2619" t="s">
        <v>360</v>
      </c>
      <c r="I14" s="2002" t="s">
        <v>22</v>
      </c>
      <c r="J14" s="1602">
        <v>114.2</v>
      </c>
      <c r="K14" s="1861"/>
      <c r="L14" s="2003"/>
      <c r="M14" s="1843"/>
      <c r="N14" s="1990" t="s">
        <v>242</v>
      </c>
      <c r="O14" s="2014">
        <v>3</v>
      </c>
      <c r="P14" s="2011"/>
      <c r="Q14" s="2010"/>
      <c r="R14" s="413"/>
    </row>
    <row r="15" spans="1:23" s="48" customFormat="1" ht="21.75" customHeight="1" x14ac:dyDescent="0.25">
      <c r="A15" s="583"/>
      <c r="B15" s="154"/>
      <c r="C15" s="153"/>
      <c r="D15" s="1758"/>
      <c r="E15" s="2371"/>
      <c r="F15" s="708"/>
      <c r="G15" s="299"/>
      <c r="H15" s="2620"/>
      <c r="I15" s="1301" t="s">
        <v>164</v>
      </c>
      <c r="J15" s="1603">
        <v>345.8</v>
      </c>
      <c r="K15" s="1936"/>
      <c r="L15" s="1549"/>
      <c r="M15" s="1944"/>
      <c r="N15" s="409"/>
      <c r="O15" s="2015"/>
      <c r="P15" s="2012"/>
      <c r="Q15" s="410"/>
      <c r="R15" s="389"/>
    </row>
    <row r="16" spans="1:23" s="2" customFormat="1" ht="16.5" customHeight="1" thickBot="1" x14ac:dyDescent="0.3">
      <c r="A16" s="1986"/>
      <c r="B16" s="1988"/>
      <c r="C16" s="203"/>
      <c r="D16" s="1756"/>
      <c r="E16" s="2359" t="s">
        <v>34</v>
      </c>
      <c r="F16" s="2360"/>
      <c r="G16" s="2360"/>
      <c r="H16" s="2360"/>
      <c r="I16" s="2360"/>
      <c r="J16" s="1593">
        <f>SUM(J14:J15)</f>
        <v>460</v>
      </c>
      <c r="K16" s="1940">
        <f>SUM(K14:K15)</f>
        <v>0</v>
      </c>
      <c r="L16" s="1206">
        <f>SUM(L14:L15)</f>
        <v>0</v>
      </c>
      <c r="M16" s="1574">
        <f>SUM(M14:M15)</f>
        <v>0</v>
      </c>
      <c r="N16" s="2361"/>
      <c r="O16" s="2362"/>
      <c r="P16" s="2362"/>
      <c r="Q16" s="2362"/>
      <c r="R16" s="2363"/>
    </row>
    <row r="17" spans="1:24" s="2" customFormat="1" ht="16.5" customHeight="1" thickBot="1" x14ac:dyDescent="0.3">
      <c r="A17" s="577" t="s">
        <v>15</v>
      </c>
      <c r="B17" s="71" t="s">
        <v>39</v>
      </c>
      <c r="C17" s="2364" t="s">
        <v>43</v>
      </c>
      <c r="D17" s="2332"/>
      <c r="E17" s="2332"/>
      <c r="F17" s="2332"/>
      <c r="G17" s="2332"/>
      <c r="H17" s="2332"/>
      <c r="I17" s="2332"/>
      <c r="J17" s="1608">
        <f>J16</f>
        <v>460</v>
      </c>
      <c r="K17" s="1908">
        <f t="shared" ref="K17:M17" si="0">K16</f>
        <v>0</v>
      </c>
      <c r="L17" s="841">
        <f t="shared" si="0"/>
        <v>0</v>
      </c>
      <c r="M17" s="382">
        <f t="shared" si="0"/>
        <v>0</v>
      </c>
      <c r="N17" s="2333"/>
      <c r="O17" s="2334"/>
      <c r="P17" s="2334"/>
      <c r="Q17" s="2334"/>
      <c r="R17" s="2335"/>
    </row>
    <row r="18" spans="1:24" s="1" customFormat="1" ht="16.5" customHeight="1" thickBot="1" x14ac:dyDescent="0.25">
      <c r="A18" s="577" t="s">
        <v>15</v>
      </c>
      <c r="B18" s="71" t="s">
        <v>41</v>
      </c>
      <c r="C18" s="2365" t="s">
        <v>67</v>
      </c>
      <c r="D18" s="2366"/>
      <c r="E18" s="2366"/>
      <c r="F18" s="2366"/>
      <c r="G18" s="2366"/>
      <c r="H18" s="2366"/>
      <c r="I18" s="2366"/>
      <c r="J18" s="2366"/>
      <c r="K18" s="2366"/>
      <c r="L18" s="2366"/>
      <c r="M18" s="2366"/>
      <c r="N18" s="2366"/>
      <c r="O18" s="2366"/>
      <c r="P18" s="2366"/>
      <c r="Q18" s="2366"/>
      <c r="R18" s="2367"/>
    </row>
    <row r="19" spans="1:24" s="1" customFormat="1" ht="18" customHeight="1" x14ac:dyDescent="0.2">
      <c r="A19" s="1985" t="s">
        <v>15</v>
      </c>
      <c r="B19" s="1987" t="s">
        <v>41</v>
      </c>
      <c r="C19" s="1998" t="s">
        <v>15</v>
      </c>
      <c r="D19" s="1744"/>
      <c r="E19" s="72" t="s">
        <v>68</v>
      </c>
      <c r="F19" s="158"/>
      <c r="G19" s="105"/>
      <c r="H19" s="1765"/>
      <c r="I19" s="193"/>
      <c r="J19" s="1589"/>
      <c r="K19" s="1903"/>
      <c r="L19" s="275"/>
      <c r="M19" s="1929"/>
      <c r="N19" s="1296"/>
      <c r="O19" s="2020"/>
      <c r="P19" s="689"/>
      <c r="Q19" s="2005"/>
      <c r="R19" s="2004"/>
    </row>
    <row r="20" spans="1:24" s="1" customFormat="1" ht="15.75" customHeight="1" x14ac:dyDescent="0.2">
      <c r="A20" s="1982"/>
      <c r="B20" s="1983"/>
      <c r="C20" s="1989"/>
      <c r="D20" s="1745" t="s">
        <v>15</v>
      </c>
      <c r="E20" s="349" t="s">
        <v>136</v>
      </c>
      <c r="F20" s="345"/>
      <c r="G20" s="73">
        <v>1</v>
      </c>
      <c r="H20" s="2617" t="s">
        <v>360</v>
      </c>
      <c r="I20" s="906" t="s">
        <v>308</v>
      </c>
      <c r="J20" s="1603">
        <v>300</v>
      </c>
      <c r="K20" s="1857"/>
      <c r="L20" s="276"/>
      <c r="M20" s="1137"/>
      <c r="N20" s="1997" t="s">
        <v>300</v>
      </c>
      <c r="O20" s="2000">
        <v>10</v>
      </c>
      <c r="P20" s="2016"/>
      <c r="Q20" s="377"/>
      <c r="R20" s="390"/>
      <c r="V20" s="68"/>
    </row>
    <row r="21" spans="1:24" s="1" customFormat="1" ht="15.75" customHeight="1" x14ac:dyDescent="0.2">
      <c r="A21" s="1982"/>
      <c r="B21" s="1983"/>
      <c r="C21" s="1989"/>
      <c r="D21" s="1740"/>
      <c r="E21" s="188"/>
      <c r="F21" s="345"/>
      <c r="G21" s="58"/>
      <c r="H21" s="2618"/>
      <c r="I21" s="629" t="s">
        <v>313</v>
      </c>
      <c r="J21" s="1580">
        <v>50</v>
      </c>
      <c r="K21" s="1890"/>
      <c r="L21" s="245"/>
      <c r="M21" s="1287"/>
      <c r="N21" s="1527"/>
      <c r="O21" s="1999"/>
      <c r="P21" s="2017"/>
      <c r="Q21" s="151"/>
      <c r="R21" s="391"/>
      <c r="V21" s="68"/>
      <c r="W21" s="68"/>
    </row>
    <row r="22" spans="1:24" s="1" customFormat="1" ht="15.75" customHeight="1" thickBot="1" x14ac:dyDescent="0.25">
      <c r="A22" s="1982"/>
      <c r="B22" s="1983"/>
      <c r="C22" s="1989"/>
      <c r="D22" s="1741"/>
      <c r="E22" s="188"/>
      <c r="F22" s="157"/>
      <c r="G22" s="58"/>
      <c r="H22" s="1999"/>
      <c r="I22" s="370" t="s">
        <v>26</v>
      </c>
      <c r="J22" s="1591">
        <f>SUM(J20:J21)</f>
        <v>350</v>
      </c>
      <c r="K22" s="1858"/>
      <c r="L22" s="407"/>
      <c r="M22" s="919"/>
      <c r="N22" s="1528"/>
      <c r="O22" s="186"/>
      <c r="P22" s="2018"/>
      <c r="Q22" s="368"/>
      <c r="R22" s="435"/>
    </row>
    <row r="23" spans="1:24" s="1" customFormat="1" ht="52.5" customHeight="1" x14ac:dyDescent="0.2">
      <c r="A23" s="1985" t="s">
        <v>15</v>
      </c>
      <c r="B23" s="1987" t="s">
        <v>41</v>
      </c>
      <c r="C23" s="1998" t="s">
        <v>39</v>
      </c>
      <c r="D23" s="1744"/>
      <c r="E23" s="72" t="s">
        <v>79</v>
      </c>
      <c r="F23" s="158"/>
      <c r="G23" s="105"/>
      <c r="H23" s="2006"/>
      <c r="I23" s="193"/>
      <c r="J23" s="1589"/>
      <c r="K23" s="1903"/>
      <c r="L23" s="275"/>
      <c r="M23" s="1929"/>
      <c r="N23" s="192"/>
      <c r="O23" s="2020"/>
      <c r="P23" s="1182"/>
      <c r="Q23" s="689"/>
      <c r="R23" s="2004"/>
    </row>
    <row r="24" spans="1:24" s="1" customFormat="1" ht="27.75" customHeight="1" x14ac:dyDescent="0.2">
      <c r="A24" s="1982"/>
      <c r="B24" s="1983"/>
      <c r="C24" s="1989"/>
      <c r="D24" s="1745" t="s">
        <v>15</v>
      </c>
      <c r="E24" s="2330" t="s">
        <v>160</v>
      </c>
      <c r="F24" s="345"/>
      <c r="G24" s="73">
        <v>1</v>
      </c>
      <c r="H24" s="1075" t="s">
        <v>360</v>
      </c>
      <c r="I24" s="369" t="s">
        <v>37</v>
      </c>
      <c r="J24" s="1592">
        <v>50</v>
      </c>
      <c r="K24" s="1857"/>
      <c r="L24" s="276"/>
      <c r="M24" s="1137"/>
      <c r="N24" s="1984" t="s">
        <v>243</v>
      </c>
      <c r="O24" s="2000">
        <v>1</v>
      </c>
      <c r="P24" s="2016"/>
      <c r="Q24" s="377"/>
      <c r="R24" s="390"/>
      <c r="X24" s="68"/>
    </row>
    <row r="25" spans="1:24" s="1" customFormat="1" ht="15" customHeight="1" thickBot="1" x14ac:dyDescent="0.25">
      <c r="A25" s="1982"/>
      <c r="B25" s="1983"/>
      <c r="C25" s="1989"/>
      <c r="D25" s="1742"/>
      <c r="E25" s="2331"/>
      <c r="F25" s="2007"/>
      <c r="G25" s="2008"/>
      <c r="H25" s="2009"/>
      <c r="I25" s="370" t="s">
        <v>26</v>
      </c>
      <c r="J25" s="1591">
        <f>SUM(J24:J24)</f>
        <v>50</v>
      </c>
      <c r="K25" s="1858">
        <f>SUM(K24:K24)</f>
        <v>0</v>
      </c>
      <c r="L25" s="219"/>
      <c r="M25" s="919"/>
      <c r="N25" s="2001"/>
      <c r="O25" s="2021"/>
      <c r="P25" s="2019"/>
      <c r="Q25" s="1410"/>
      <c r="R25" s="1196"/>
    </row>
    <row r="26" spans="1:24" s="2" customFormat="1" ht="16.5" customHeight="1" thickBot="1" x14ac:dyDescent="0.3">
      <c r="A26" s="577" t="s">
        <v>15</v>
      </c>
      <c r="B26" s="5" t="s">
        <v>41</v>
      </c>
      <c r="C26" s="2332" t="s">
        <v>43</v>
      </c>
      <c r="D26" s="2332"/>
      <c r="E26" s="2332"/>
      <c r="F26" s="2332"/>
      <c r="G26" s="2332"/>
      <c r="H26" s="2332"/>
      <c r="I26" s="2332"/>
      <c r="J26" s="1598">
        <f>+J25+J22</f>
        <v>400</v>
      </c>
      <c r="K26" s="85">
        <f t="shared" ref="K26:M26" si="1">+K25+K22</f>
        <v>0</v>
      </c>
      <c r="L26" s="282">
        <f t="shared" si="1"/>
        <v>0</v>
      </c>
      <c r="M26" s="814">
        <f t="shared" si="1"/>
        <v>0</v>
      </c>
      <c r="N26" s="2333"/>
      <c r="O26" s="2334"/>
      <c r="P26" s="2334"/>
      <c r="Q26" s="2334"/>
      <c r="R26" s="2335"/>
    </row>
    <row r="27" spans="1:24" s="1" customFormat="1" ht="16.5" customHeight="1" thickBot="1" x14ac:dyDescent="0.25">
      <c r="A27" s="1986" t="s">
        <v>15</v>
      </c>
      <c r="B27" s="584"/>
      <c r="C27" s="2336" t="s">
        <v>80</v>
      </c>
      <c r="D27" s="2336"/>
      <c r="E27" s="2336"/>
      <c r="F27" s="2336"/>
      <c r="G27" s="2336"/>
      <c r="H27" s="2336"/>
      <c r="I27" s="2336"/>
      <c r="J27" s="1599">
        <f>+J26+J17</f>
        <v>860</v>
      </c>
      <c r="K27" s="590">
        <f t="shared" ref="K27:M27" si="2">+K26+K17</f>
        <v>0</v>
      </c>
      <c r="L27" s="591">
        <f t="shared" si="2"/>
        <v>0</v>
      </c>
      <c r="M27" s="1646">
        <f t="shared" si="2"/>
        <v>0</v>
      </c>
      <c r="N27" s="2337"/>
      <c r="O27" s="2338"/>
      <c r="P27" s="2338"/>
      <c r="Q27" s="2338"/>
      <c r="R27" s="2339"/>
    </row>
    <row r="28" spans="1:24" s="2" customFormat="1" ht="16.5" customHeight="1" thickBot="1" x14ac:dyDescent="0.3">
      <c r="A28" s="586" t="s">
        <v>81</v>
      </c>
      <c r="B28" s="2340" t="s">
        <v>82</v>
      </c>
      <c r="C28" s="2341"/>
      <c r="D28" s="2341"/>
      <c r="E28" s="2341"/>
      <c r="F28" s="2341"/>
      <c r="G28" s="2341"/>
      <c r="H28" s="2341"/>
      <c r="I28" s="2341"/>
      <c r="J28" s="1600">
        <f t="shared" ref="J28:M28" si="3">J27</f>
        <v>860</v>
      </c>
      <c r="K28" s="1950">
        <f t="shared" si="3"/>
        <v>0</v>
      </c>
      <c r="L28" s="592">
        <f t="shared" si="3"/>
        <v>0</v>
      </c>
      <c r="M28" s="1263">
        <f t="shared" si="3"/>
        <v>0</v>
      </c>
      <c r="N28" s="2342"/>
      <c r="O28" s="2343"/>
      <c r="P28" s="2343"/>
      <c r="Q28" s="2343"/>
      <c r="R28" s="2344"/>
    </row>
    <row r="29" spans="1:24" s="2" customFormat="1" ht="16.5" customHeight="1" x14ac:dyDescent="0.25">
      <c r="A29" s="2621" t="s">
        <v>358</v>
      </c>
      <c r="B29" s="2621"/>
      <c r="C29" s="2621"/>
      <c r="D29" s="2621"/>
      <c r="E29" s="2621"/>
      <c r="F29" s="2621"/>
      <c r="G29" s="2621"/>
      <c r="H29" s="2621"/>
      <c r="I29" s="2621"/>
      <c r="J29" s="2621"/>
      <c r="K29" s="2621"/>
      <c r="L29" s="2621"/>
      <c r="M29" s="2621"/>
      <c r="N29" s="2621"/>
      <c r="O29" s="2621"/>
      <c r="P29" s="2621"/>
      <c r="Q29" s="2621"/>
      <c r="R29" s="2621"/>
    </row>
    <row r="30" spans="1:24" s="68" customFormat="1" ht="21.75" customHeight="1" thickBot="1" x14ac:dyDescent="0.25">
      <c r="A30" s="2317" t="s">
        <v>83</v>
      </c>
      <c r="B30" s="2317"/>
      <c r="C30" s="2317"/>
      <c r="D30" s="2317"/>
      <c r="E30" s="2317"/>
      <c r="F30" s="2317"/>
      <c r="G30" s="2317"/>
      <c r="H30" s="2317"/>
      <c r="I30" s="2317"/>
      <c r="J30" s="2317"/>
      <c r="K30" s="2317"/>
      <c r="L30" s="2317"/>
      <c r="M30" s="2317"/>
      <c r="N30" s="86"/>
      <c r="O30" s="166"/>
      <c r="P30" s="166"/>
      <c r="Q30" s="166"/>
      <c r="R30" s="166"/>
    </row>
    <row r="31" spans="1:24" s="45" customFormat="1" ht="52.5" customHeight="1" thickBot="1" x14ac:dyDescent="0.3">
      <c r="A31" s="2318" t="s">
        <v>84</v>
      </c>
      <c r="B31" s="2319"/>
      <c r="C31" s="2319"/>
      <c r="D31" s="2319"/>
      <c r="E31" s="2319"/>
      <c r="F31" s="2319"/>
      <c r="G31" s="2319"/>
      <c r="H31" s="2320"/>
      <c r="I31" s="2320"/>
      <c r="J31" s="1965" t="s">
        <v>359</v>
      </c>
      <c r="K31" s="1955" t="s">
        <v>185</v>
      </c>
      <c r="L31" s="1970" t="s">
        <v>301</v>
      </c>
      <c r="M31" s="1975" t="s">
        <v>356</v>
      </c>
      <c r="N31" s="1991"/>
      <c r="O31" s="2321"/>
      <c r="P31" s="2321"/>
      <c r="Q31" s="2321"/>
      <c r="R31" s="2321"/>
      <c r="T31" s="48"/>
    </row>
    <row r="32" spans="1:24" s="2" customFormat="1" ht="15.75" customHeight="1" thickBot="1" x14ac:dyDescent="0.3">
      <c r="A32" s="2305" t="s">
        <v>85</v>
      </c>
      <c r="B32" s="2306"/>
      <c r="C32" s="2306"/>
      <c r="D32" s="2306"/>
      <c r="E32" s="2306"/>
      <c r="F32" s="2306"/>
      <c r="G32" s="2306"/>
      <c r="H32" s="2307"/>
      <c r="I32" s="2307"/>
      <c r="J32" s="1524">
        <f>+J33+J40+J42+J43+J44+J41</f>
        <v>810</v>
      </c>
      <c r="K32" s="1956">
        <f>+K33+K40+K42+K43+K44</f>
        <v>0</v>
      </c>
      <c r="L32" s="595">
        <f>+L33+L40+L42+L43+L44</f>
        <v>0</v>
      </c>
      <c r="M32" s="829">
        <f>+M33+M40+M42+M43+M44</f>
        <v>0</v>
      </c>
      <c r="N32" s="1992"/>
      <c r="O32" s="2279"/>
      <c r="P32" s="2279"/>
      <c r="Q32" s="2279"/>
      <c r="R32" s="2279"/>
    </row>
    <row r="33" spans="1:18" s="2" customFormat="1" ht="15.75" customHeight="1" x14ac:dyDescent="0.25">
      <c r="A33" s="2326" t="s">
        <v>338</v>
      </c>
      <c r="B33" s="2327"/>
      <c r="C33" s="2327"/>
      <c r="D33" s="2327"/>
      <c r="E33" s="2327"/>
      <c r="F33" s="2327"/>
      <c r="G33" s="2327"/>
      <c r="H33" s="2327"/>
      <c r="I33" s="2328"/>
      <c r="J33" s="1966">
        <f>SUM(J34:J39)</f>
        <v>414.2</v>
      </c>
      <c r="K33" s="1957">
        <f>SUM(K34:K39)</f>
        <v>0</v>
      </c>
      <c r="L33" s="1971">
        <f>SUM(L34:L39)</f>
        <v>0</v>
      </c>
      <c r="M33" s="1976">
        <f>SUM(M34:M39)</f>
        <v>0</v>
      </c>
      <c r="N33" s="1992"/>
      <c r="O33" s="1992"/>
      <c r="P33" s="1992"/>
      <c r="Q33" s="1992"/>
      <c r="R33" s="1992"/>
    </row>
    <row r="34" spans="1:18" s="2" customFormat="1" ht="15.75" customHeight="1" x14ac:dyDescent="0.25">
      <c r="A34" s="2322" t="s">
        <v>86</v>
      </c>
      <c r="B34" s="2323"/>
      <c r="C34" s="2323"/>
      <c r="D34" s="2323"/>
      <c r="E34" s="2323"/>
      <c r="F34" s="2323"/>
      <c r="G34" s="2323"/>
      <c r="H34" s="2324"/>
      <c r="I34" s="2324"/>
      <c r="J34" s="1580">
        <f>SUMIF(I12:I24,"sb",J12:J24)</f>
        <v>114.2</v>
      </c>
      <c r="K34" s="1891">
        <f>SUMIF(I12:I22,"sb",K12:K22)</f>
        <v>0</v>
      </c>
      <c r="L34" s="1352">
        <f>SUMIF(I12:I22,"sb",L12:L22)</f>
        <v>0</v>
      </c>
      <c r="M34" s="1321">
        <f>SUMIF(J12:J22,"sb",M12:M22)</f>
        <v>0</v>
      </c>
      <c r="N34" s="1993"/>
      <c r="O34" s="2325"/>
      <c r="P34" s="2325"/>
      <c r="Q34" s="2325"/>
      <c r="R34" s="2325"/>
    </row>
    <row r="35" spans="1:18" s="2" customFormat="1" ht="15.75" customHeight="1" x14ac:dyDescent="0.25">
      <c r="A35" s="2311" t="s">
        <v>309</v>
      </c>
      <c r="B35" s="2312"/>
      <c r="C35" s="2312"/>
      <c r="D35" s="2312"/>
      <c r="E35" s="2312"/>
      <c r="F35" s="2312"/>
      <c r="G35" s="2312"/>
      <c r="H35" s="2312"/>
      <c r="I35" s="2313"/>
      <c r="J35" s="1581">
        <f>SUMIF(I12:I24,"sb(f)",J12:J24)</f>
        <v>300</v>
      </c>
      <c r="K35" s="1958">
        <f>SUMIF(I12:I25,"sb(f)",K12:K25)</f>
        <v>0</v>
      </c>
      <c r="L35" s="283">
        <f>SUMIF(I12:I25,"sb(f)",L12:L25)</f>
        <v>0</v>
      </c>
      <c r="M35" s="351">
        <f>SUMIF(J12:J25,"sb(f)",M12:M25)</f>
        <v>0</v>
      </c>
      <c r="N35" s="1993"/>
      <c r="O35" s="1993"/>
      <c r="P35" s="1993"/>
      <c r="Q35" s="1993"/>
      <c r="R35" s="1993"/>
    </row>
    <row r="36" spans="1:18" s="2" customFormat="1" ht="15.75" hidden="1" customHeight="1" x14ac:dyDescent="0.25">
      <c r="A36" s="2311" t="s">
        <v>244</v>
      </c>
      <c r="B36" s="2312"/>
      <c r="C36" s="2312"/>
      <c r="D36" s="2312"/>
      <c r="E36" s="2312"/>
      <c r="F36" s="2312"/>
      <c r="G36" s="2312"/>
      <c r="H36" s="2312"/>
      <c r="I36" s="2622"/>
      <c r="J36" s="1581">
        <f>SUMIF(I12:I24,"sb(es)",J12:J24)</f>
        <v>0</v>
      </c>
      <c r="K36" s="1958">
        <f>SUMIF(I12:I26,"sb(es)",K12:K26)</f>
        <v>0</v>
      </c>
      <c r="L36" s="283">
        <f>SUMIF(I12:I26,"sb(es)",L12:L26)</f>
        <v>0</v>
      </c>
      <c r="M36" s="351">
        <f>SUMIF(J12:J26,"sb(es)",M12:M26)</f>
        <v>0</v>
      </c>
      <c r="N36" s="1996"/>
      <c r="O36" s="1996"/>
      <c r="P36" s="1996"/>
      <c r="Q36" s="1996"/>
      <c r="R36" s="1996"/>
    </row>
    <row r="37" spans="1:18" s="2" customFormat="1" ht="30.75" hidden="1" customHeight="1" x14ac:dyDescent="0.25">
      <c r="A37" s="2311" t="s">
        <v>227</v>
      </c>
      <c r="B37" s="2312"/>
      <c r="C37" s="2312"/>
      <c r="D37" s="2312"/>
      <c r="E37" s="2312"/>
      <c r="F37" s="2312"/>
      <c r="G37" s="2312"/>
      <c r="H37" s="2312"/>
      <c r="I37" s="2622"/>
      <c r="J37" s="1581">
        <f>SUMIF(I12:I24,"SB(esa)",J12:J24)</f>
        <v>0</v>
      </c>
      <c r="K37" s="1958">
        <f>SUMIF(I12:I25,"SB(esa)",K12:K25)</f>
        <v>0</v>
      </c>
      <c r="L37" s="283">
        <f>SUMIF(I12:I25,"SB(esa)",L12:L25)</f>
        <v>0</v>
      </c>
      <c r="M37" s="351">
        <f>SUMIF(J12:J25,"SB(esa)",M12:M25)</f>
        <v>0</v>
      </c>
      <c r="N37" s="1996"/>
      <c r="O37" s="1996"/>
      <c r="P37" s="1996"/>
      <c r="Q37" s="1996"/>
      <c r="R37" s="1996"/>
    </row>
    <row r="38" spans="1:18" s="2" customFormat="1" ht="15.75" hidden="1" customHeight="1" x14ac:dyDescent="0.25">
      <c r="A38" s="2311" t="s">
        <v>87</v>
      </c>
      <c r="B38" s="2312"/>
      <c r="C38" s="2312"/>
      <c r="D38" s="2312"/>
      <c r="E38" s="2312"/>
      <c r="F38" s="2312"/>
      <c r="G38" s="2312"/>
      <c r="H38" s="2312"/>
      <c r="I38" s="2622"/>
      <c r="J38" s="1586">
        <f>SUMIF(I12:I24,"sb(sp)",J12:J24)</f>
        <v>0</v>
      </c>
      <c r="K38" s="1958">
        <f>SUMIF(I12:I22,"sb(sp)",K12:K22)</f>
        <v>0</v>
      </c>
      <c r="L38" s="283">
        <f>SUMIF(I12:I22,"sb(sp)",L12:L22)</f>
        <v>0</v>
      </c>
      <c r="M38" s="351">
        <f>SUMIF(J12:J22,"sb(sp)",M12:M22)</f>
        <v>0</v>
      </c>
      <c r="N38" s="1993"/>
      <c r="O38" s="2301"/>
      <c r="P38" s="2301"/>
      <c r="Q38" s="2301"/>
      <c r="R38" s="2301"/>
    </row>
    <row r="39" spans="1:18" s="2" customFormat="1" ht="15" hidden="1" customHeight="1" x14ac:dyDescent="0.25">
      <c r="A39" s="2311" t="s">
        <v>88</v>
      </c>
      <c r="B39" s="2312"/>
      <c r="C39" s="2312"/>
      <c r="D39" s="2312"/>
      <c r="E39" s="2312"/>
      <c r="F39" s="2312"/>
      <c r="G39" s="2312"/>
      <c r="H39" s="2312"/>
      <c r="I39" s="2622"/>
      <c r="J39" s="1581">
        <f>SUMIF(I12:I24,"sb(vb)",J12:J24)</f>
        <v>0</v>
      </c>
      <c r="K39" s="1958">
        <f>SUMIF(I12:I22,"sb(vb)",K12:K22)</f>
        <v>0</v>
      </c>
      <c r="L39" s="283">
        <f>SUMIF(I12:I22,"sb(vb)",L12:L22)</f>
        <v>0</v>
      </c>
      <c r="M39" s="351">
        <f>SUMIF(J12:J22,"sb(vb)",M12:M22)</f>
        <v>0</v>
      </c>
      <c r="N39" s="1996"/>
      <c r="O39" s="2301"/>
      <c r="P39" s="2301"/>
      <c r="Q39" s="2301"/>
      <c r="R39" s="2301"/>
    </row>
    <row r="40" spans="1:18" s="2" customFormat="1" ht="15.75" customHeight="1" x14ac:dyDescent="0.25">
      <c r="A40" s="2308" t="s">
        <v>165</v>
      </c>
      <c r="B40" s="2309"/>
      <c r="C40" s="2309"/>
      <c r="D40" s="2309"/>
      <c r="E40" s="2309"/>
      <c r="F40" s="2309"/>
      <c r="G40" s="2309"/>
      <c r="H40" s="2310"/>
      <c r="I40" s="2310"/>
      <c r="J40" s="1583">
        <f>SUMIF(I12:I24,"sb(l)",J12:J24)</f>
        <v>345.8</v>
      </c>
      <c r="K40" s="1959">
        <f>SUMIF(I12:I24,"sb(l)",K12:K24)</f>
        <v>0</v>
      </c>
      <c r="L40" s="1539">
        <f>SUMIF(I12:I24,"sb(l)",L12:L24)</f>
        <v>0</v>
      </c>
      <c r="M40" s="1977">
        <f>SUMIF(J12:J24,"sb(l)",M12:M24)</f>
        <v>0</v>
      </c>
      <c r="N40" s="1993"/>
      <c r="O40" s="1993"/>
      <c r="P40" s="1993"/>
      <c r="Q40" s="1993"/>
      <c r="R40" s="1993"/>
    </row>
    <row r="41" spans="1:18" s="2" customFormat="1" ht="15.75" hidden="1" customHeight="1" x14ac:dyDescent="0.25">
      <c r="A41" s="2314" t="s">
        <v>342</v>
      </c>
      <c r="B41" s="2315"/>
      <c r="C41" s="2315"/>
      <c r="D41" s="2315"/>
      <c r="E41" s="2315"/>
      <c r="F41" s="2315"/>
      <c r="G41" s="2315"/>
      <c r="H41" s="2315"/>
      <c r="I41" s="2329"/>
      <c r="J41" s="1583">
        <f>SUMIF(I12:I25,"sb(spl)",J12:J25)</f>
        <v>0</v>
      </c>
      <c r="K41" s="1959"/>
      <c r="L41" s="1539"/>
      <c r="M41" s="1977"/>
      <c r="N41" s="1993"/>
      <c r="O41" s="1993"/>
      <c r="P41" s="1993"/>
      <c r="Q41" s="1993"/>
      <c r="R41" s="1993"/>
    </row>
    <row r="42" spans="1:18" s="2" customFormat="1" ht="15.75" hidden="1" customHeight="1" x14ac:dyDescent="0.25">
      <c r="A42" s="2314" t="s">
        <v>336</v>
      </c>
      <c r="B42" s="2315"/>
      <c r="C42" s="2315"/>
      <c r="D42" s="2315"/>
      <c r="E42" s="2315"/>
      <c r="F42" s="2315"/>
      <c r="G42" s="2315"/>
      <c r="H42" s="2315"/>
      <c r="I42" s="2329"/>
      <c r="J42" s="1583">
        <f>SUMIF(I12:I25,"sb(vbl)",J12:J25)</f>
        <v>0</v>
      </c>
      <c r="K42" s="1959">
        <f>SUMIF(I12:I25,"sb(vbl)",K12:K25)</f>
        <v>0</v>
      </c>
      <c r="L42" s="1539">
        <f>SUMIF(I12:I25,"sb(vbl)",L12:L25)</f>
        <v>0</v>
      </c>
      <c r="M42" s="1977">
        <f>SUMIF(J12:J25,"sb(vbl)",M12:M25)</f>
        <v>0</v>
      </c>
      <c r="N42" s="1996"/>
      <c r="O42" s="1996"/>
      <c r="P42" s="1996"/>
      <c r="Q42" s="1996"/>
      <c r="R42" s="1996"/>
    </row>
    <row r="43" spans="1:18" s="2" customFormat="1" ht="15.75" customHeight="1" thickBot="1" x14ac:dyDescent="0.3">
      <c r="A43" s="2314" t="s">
        <v>324</v>
      </c>
      <c r="B43" s="2315"/>
      <c r="C43" s="2315"/>
      <c r="D43" s="2315"/>
      <c r="E43" s="2315"/>
      <c r="F43" s="2315"/>
      <c r="G43" s="2315"/>
      <c r="H43" s="2315"/>
      <c r="I43" s="2316"/>
      <c r="J43" s="1583">
        <f>SUMIF(I12:I25,"sb(fl)",J12:J25)</f>
        <v>50</v>
      </c>
      <c r="K43" s="1959">
        <f>SUMIF(I12:I26,"sb(fl)",K12:K26)</f>
        <v>0</v>
      </c>
      <c r="L43" s="1539">
        <f>SUMIF(I12:I26,"sb(fl)",L12:L26)</f>
        <v>0</v>
      </c>
      <c r="M43" s="1977">
        <f>SUMIF(J12:J26,"sb(fl)",M12:M26)</f>
        <v>0</v>
      </c>
      <c r="N43" s="1993"/>
      <c r="O43" s="1993"/>
      <c r="P43" s="1993"/>
      <c r="Q43" s="1993"/>
      <c r="R43" s="1993"/>
    </row>
    <row r="44" spans="1:18" s="2" customFormat="1" ht="15.75" hidden="1" customHeight="1" thickBot="1" x14ac:dyDescent="0.3">
      <c r="A44" s="2273" t="s">
        <v>337</v>
      </c>
      <c r="B44" s="2274"/>
      <c r="C44" s="2274"/>
      <c r="D44" s="2274"/>
      <c r="E44" s="2274"/>
      <c r="F44" s="2274"/>
      <c r="G44" s="2274"/>
      <c r="H44" s="2275"/>
      <c r="I44" s="2275"/>
      <c r="J44" s="1967">
        <f>SUMIF(I12:I26,"sb(esl)",J12:J26)</f>
        <v>0</v>
      </c>
      <c r="K44" s="1960">
        <f>SUMIF(I12:I24,"sb(esl)",K12:K24)</f>
        <v>0</v>
      </c>
      <c r="L44" s="1972">
        <f>SUMIF(I12:I24,"sb(esl)",L12:L24)</f>
        <v>0</v>
      </c>
      <c r="M44" s="1978">
        <f>SUMIF(J12:J24,"sb(esl)",M12:M24)</f>
        <v>0</v>
      </c>
      <c r="N44" s="1996"/>
      <c r="O44" s="1996"/>
      <c r="P44" s="1996"/>
      <c r="Q44" s="1996"/>
      <c r="R44" s="1996"/>
    </row>
    <row r="45" spans="1:18" s="2" customFormat="1" ht="15.75" customHeight="1" thickBot="1" x14ac:dyDescent="0.3">
      <c r="A45" s="2305" t="s">
        <v>89</v>
      </c>
      <c r="B45" s="2306"/>
      <c r="C45" s="2306"/>
      <c r="D45" s="2306"/>
      <c r="E45" s="2306"/>
      <c r="F45" s="2306"/>
      <c r="G45" s="2306"/>
      <c r="H45" s="2307"/>
      <c r="I45" s="2307"/>
      <c r="J45" s="1524">
        <f>SUM(J46:J48)</f>
        <v>50</v>
      </c>
      <c r="K45" s="1961">
        <f t="shared" ref="K45:M45" si="4">SUM(K46:K48)</f>
        <v>0</v>
      </c>
      <c r="L45" s="1956">
        <f t="shared" si="4"/>
        <v>0</v>
      </c>
      <c r="M45" s="829">
        <f t="shared" si="4"/>
        <v>0</v>
      </c>
      <c r="N45" s="1996"/>
      <c r="O45" s="1996"/>
      <c r="P45" s="1996"/>
      <c r="Q45" s="1996"/>
      <c r="R45" s="1996"/>
    </row>
    <row r="46" spans="1:18" s="2" customFormat="1" ht="15.75" hidden="1" customHeight="1" x14ac:dyDescent="0.25">
      <c r="A46" s="2295" t="s">
        <v>145</v>
      </c>
      <c r="B46" s="2296"/>
      <c r="C46" s="2296"/>
      <c r="D46" s="2296"/>
      <c r="E46" s="2296"/>
      <c r="F46" s="2296"/>
      <c r="G46" s="2296"/>
      <c r="H46" s="2297"/>
      <c r="I46" s="2297"/>
      <c r="J46" s="1968">
        <f>SUMIF(I12:I24,"es",J12:J24)</f>
        <v>0</v>
      </c>
      <c r="K46" s="1962">
        <f>SUMIF(I12:I22,"es",K12:K22)</f>
        <v>0</v>
      </c>
      <c r="L46" s="1973">
        <f>SUMIF(I12:I22,"es",L12:L22)</f>
        <v>0</v>
      </c>
      <c r="M46" s="1979">
        <f>SUMIF(J12:J22,"es",M12:M22)</f>
        <v>0</v>
      </c>
      <c r="N46" s="143"/>
      <c r="O46" s="2279"/>
      <c r="P46" s="2279"/>
      <c r="Q46" s="2279"/>
      <c r="R46" s="2279"/>
    </row>
    <row r="47" spans="1:18" s="2" customFormat="1" ht="15.75" customHeight="1" thickBot="1" x14ac:dyDescent="0.3">
      <c r="A47" s="2298" t="s">
        <v>90</v>
      </c>
      <c r="B47" s="2299"/>
      <c r="C47" s="2299"/>
      <c r="D47" s="2299"/>
      <c r="E47" s="2299"/>
      <c r="F47" s="2299"/>
      <c r="G47" s="2299"/>
      <c r="H47" s="2300"/>
      <c r="I47" s="2300"/>
      <c r="J47" s="1586">
        <f>SUMIF(I12:I24,"lrvb",J12:J24)</f>
        <v>50</v>
      </c>
      <c r="K47" s="1963">
        <f>SUMIF(I12:I22,"lrvb",K12:K22)</f>
        <v>0</v>
      </c>
      <c r="L47" s="994">
        <f>SUMIF(I12:I22,"lrvb",L12:L22)</f>
        <v>0</v>
      </c>
      <c r="M47" s="1980">
        <f>SUMIF(J12:J22,"lrvb",M12:M22)</f>
        <v>0</v>
      </c>
      <c r="N47" s="87"/>
      <c r="O47" s="2301"/>
      <c r="P47" s="2301"/>
      <c r="Q47" s="2301"/>
      <c r="R47" s="2301"/>
    </row>
    <row r="48" spans="1:18" s="2" customFormat="1" ht="15.75" hidden="1" customHeight="1" thickBot="1" x14ac:dyDescent="0.3">
      <c r="A48" s="2302" t="s">
        <v>91</v>
      </c>
      <c r="B48" s="2303"/>
      <c r="C48" s="2303"/>
      <c r="D48" s="2303"/>
      <c r="E48" s="2303"/>
      <c r="F48" s="2303"/>
      <c r="G48" s="2303"/>
      <c r="H48" s="2304"/>
      <c r="I48" s="2304"/>
      <c r="J48" s="1587">
        <f>SUMIF(I12:I24,"kt",J12:J24)</f>
        <v>0</v>
      </c>
      <c r="K48" s="1898">
        <f>SUMIF(I12:I22,"kt",K12:K22)</f>
        <v>0</v>
      </c>
      <c r="L48" s="284">
        <f>SUMIF(I12:I22,"kt",L12:L22)</f>
        <v>0</v>
      </c>
      <c r="M48" s="997">
        <f>SUMIF(J12:J22,"kt",M12:M22)</f>
        <v>0</v>
      </c>
      <c r="N48" s="87"/>
      <c r="O48" s="2301"/>
      <c r="P48" s="2301"/>
      <c r="Q48" s="2301"/>
      <c r="R48" s="2301"/>
    </row>
    <row r="49" spans="1:24" s="2" customFormat="1" ht="15.75" customHeight="1" thickBot="1" x14ac:dyDescent="0.3">
      <c r="A49" s="2276" t="s">
        <v>92</v>
      </c>
      <c r="B49" s="2277"/>
      <c r="C49" s="2277"/>
      <c r="D49" s="2277"/>
      <c r="E49" s="2277"/>
      <c r="F49" s="2277"/>
      <c r="G49" s="2277"/>
      <c r="H49" s="2278"/>
      <c r="I49" s="2278"/>
      <c r="J49" s="1969">
        <f>J32+J45</f>
        <v>860</v>
      </c>
      <c r="K49" s="1964">
        <f>K32+K45</f>
        <v>0</v>
      </c>
      <c r="L49" s="1974">
        <f>L32+L45</f>
        <v>0</v>
      </c>
      <c r="M49" s="830">
        <f>M32+M45</f>
        <v>0</v>
      </c>
      <c r="N49" s="142"/>
      <c r="O49" s="2279"/>
      <c r="P49" s="2279"/>
      <c r="Q49" s="2279"/>
      <c r="R49" s="2279"/>
    </row>
    <row r="50" spans="1:24" x14ac:dyDescent="0.25">
      <c r="G50" s="2280" t="s">
        <v>257</v>
      </c>
      <c r="H50" s="2280"/>
      <c r="I50" s="2281"/>
      <c r="J50" s="2281"/>
      <c r="K50" s="2281"/>
      <c r="L50" s="2281"/>
      <c r="M50" s="1995"/>
    </row>
    <row r="51" spans="1:24" x14ac:dyDescent="0.25">
      <c r="J51" s="146"/>
    </row>
    <row r="52" spans="1:24" x14ac:dyDescent="0.25">
      <c r="J52" s="146"/>
    </row>
    <row r="53" spans="1:24" x14ac:dyDescent="0.25">
      <c r="X53" s="1281"/>
    </row>
    <row r="55" spans="1:24" x14ac:dyDescent="0.25">
      <c r="J55" s="146"/>
      <c r="L55" s="146"/>
      <c r="M55" s="146"/>
    </row>
    <row r="57" spans="1:24" x14ac:dyDescent="0.25">
      <c r="J57" s="146"/>
      <c r="K57" s="146"/>
      <c r="L57" s="146"/>
      <c r="M57" s="146"/>
    </row>
  </sheetData>
  <mergeCells count="71">
    <mergeCell ref="A49:I49"/>
    <mergeCell ref="O49:R49"/>
    <mergeCell ref="G50:L50"/>
    <mergeCell ref="A46:I46"/>
    <mergeCell ref="O46:R46"/>
    <mergeCell ref="A47:I47"/>
    <mergeCell ref="O47:R47"/>
    <mergeCell ref="A48:I48"/>
    <mergeCell ref="O48:R48"/>
    <mergeCell ref="A45:I45"/>
    <mergeCell ref="A36:I36"/>
    <mergeCell ref="A37:I37"/>
    <mergeCell ref="A38:I38"/>
    <mergeCell ref="O38:R38"/>
    <mergeCell ref="A39:I39"/>
    <mergeCell ref="O39:R39"/>
    <mergeCell ref="A40:I40"/>
    <mergeCell ref="A41:I41"/>
    <mergeCell ref="A42:I42"/>
    <mergeCell ref="A43:I43"/>
    <mergeCell ref="A44:I44"/>
    <mergeCell ref="A35:I35"/>
    <mergeCell ref="B28:I28"/>
    <mergeCell ref="N28:R28"/>
    <mergeCell ref="A29:R29"/>
    <mergeCell ref="A30:M30"/>
    <mergeCell ref="A31:I31"/>
    <mergeCell ref="O31:R31"/>
    <mergeCell ref="A32:I32"/>
    <mergeCell ref="O32:R32"/>
    <mergeCell ref="A33:I33"/>
    <mergeCell ref="A34:I34"/>
    <mergeCell ref="O34:R34"/>
    <mergeCell ref="H20:H21"/>
    <mergeCell ref="C12:R12"/>
    <mergeCell ref="E14:E15"/>
    <mergeCell ref="H14:H15"/>
    <mergeCell ref="A10:R10"/>
    <mergeCell ref="B11:R11"/>
    <mergeCell ref="E16:I16"/>
    <mergeCell ref="N16:R16"/>
    <mergeCell ref="C17:I17"/>
    <mergeCell ref="N17:R17"/>
    <mergeCell ref="C18:R18"/>
    <mergeCell ref="E24:E25"/>
    <mergeCell ref="C26:I26"/>
    <mergeCell ref="N26:R26"/>
    <mergeCell ref="C27:I27"/>
    <mergeCell ref="N27:R27"/>
    <mergeCell ref="A9:R9"/>
    <mergeCell ref="F6:F8"/>
    <mergeCell ref="G6:G8"/>
    <mergeCell ref="L6:L8"/>
    <mergeCell ref="M6:M8"/>
    <mergeCell ref="N6:R6"/>
    <mergeCell ref="N7:N8"/>
    <mergeCell ref="I6:I8"/>
    <mergeCell ref="J6:J8"/>
    <mergeCell ref="K6:K8"/>
    <mergeCell ref="A6:A8"/>
    <mergeCell ref="B6:B8"/>
    <mergeCell ref="C6:C8"/>
    <mergeCell ref="D6:D8"/>
    <mergeCell ref="H6:H8"/>
    <mergeCell ref="E6:E8"/>
    <mergeCell ref="O7:R7"/>
    <mergeCell ref="L1:R1"/>
    <mergeCell ref="A2:R2"/>
    <mergeCell ref="A3:R3"/>
    <mergeCell ref="A4:R4"/>
    <mergeCell ref="A5:R5"/>
  </mergeCells>
  <pageMargins left="0.70866141732283472" right="0.70866141732283472" top="0.74803149606299213" bottom="0.74803149606299213" header="0.31496062992125984" footer="0.31496062992125984"/>
  <pageSetup paperSize="9" scale="8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5"/>
  <sheetViews>
    <sheetView topLeftCell="A22" zoomScaleNormal="100" workbookViewId="0">
      <selection activeCell="U38" sqref="U38"/>
    </sheetView>
  </sheetViews>
  <sheetFormatPr defaultColWidth="9.140625" defaultRowHeight="15" x14ac:dyDescent="0.25"/>
  <cols>
    <col min="1" max="4" width="3.28515625" style="123" customWidth="1"/>
    <col min="5" max="5" width="25.28515625" style="121" customWidth="1"/>
    <col min="6" max="6" width="3.28515625" style="1654" customWidth="1"/>
    <col min="7" max="7" width="3.140625" style="1655" customWidth="1"/>
    <col min="8" max="8" width="13" style="1654" customWidth="1"/>
    <col min="9" max="9" width="8.5703125" style="121" customWidth="1"/>
    <col min="10" max="13" width="8.140625" style="123" customWidth="1"/>
    <col min="14" max="14" width="24.28515625" style="121" customWidth="1"/>
    <col min="15" max="16" width="6" style="1107" customWidth="1"/>
    <col min="17" max="18" width="5.85546875" style="1107" customWidth="1"/>
    <col min="19" max="16384" width="9.140625" style="121"/>
  </cols>
  <sheetData>
    <row r="1" spans="1:23" s="215" customFormat="1" ht="34.5" customHeight="1" x14ac:dyDescent="0.25">
      <c r="A1" s="212"/>
      <c r="B1" s="212"/>
      <c r="C1" s="212"/>
      <c r="D1" s="212"/>
      <c r="E1" s="212"/>
      <c r="F1" s="213"/>
      <c r="G1" s="395"/>
      <c r="H1" s="395"/>
      <c r="I1" s="214"/>
      <c r="J1" s="214"/>
      <c r="K1" s="399"/>
      <c r="L1" s="2602" t="s">
        <v>357</v>
      </c>
      <c r="M1" s="2602"/>
      <c r="N1" s="2602"/>
      <c r="O1" s="2602"/>
      <c r="P1" s="2602"/>
      <c r="Q1" s="2602"/>
      <c r="R1" s="2602"/>
    </row>
    <row r="2" spans="1:23" s="118" customFormat="1" ht="16.5" customHeight="1" x14ac:dyDescent="0.25">
      <c r="A2" s="2521" t="s">
        <v>314</v>
      </c>
      <c r="B2" s="2521"/>
      <c r="C2" s="2521"/>
      <c r="D2" s="2521"/>
      <c r="E2" s="2521"/>
      <c r="F2" s="2521"/>
      <c r="G2" s="2521"/>
      <c r="H2" s="2521"/>
      <c r="I2" s="2521"/>
      <c r="J2" s="2521"/>
      <c r="K2" s="2521"/>
      <c r="L2" s="2521"/>
      <c r="M2" s="2521"/>
      <c r="N2" s="2521"/>
      <c r="O2" s="2521"/>
      <c r="P2" s="2521"/>
      <c r="Q2" s="2521"/>
      <c r="R2" s="2521"/>
    </row>
    <row r="3" spans="1:23" s="119" customFormat="1" ht="16.5" customHeight="1" x14ac:dyDescent="0.25">
      <c r="A3" s="2522" t="s">
        <v>0</v>
      </c>
      <c r="B3" s="2522"/>
      <c r="C3" s="2522"/>
      <c r="D3" s="2522"/>
      <c r="E3" s="2522"/>
      <c r="F3" s="2522"/>
      <c r="G3" s="2522"/>
      <c r="H3" s="2522"/>
      <c r="I3" s="2522"/>
      <c r="J3" s="2522"/>
      <c r="K3" s="2522"/>
      <c r="L3" s="2522"/>
      <c r="M3" s="2522"/>
      <c r="N3" s="2522"/>
      <c r="O3" s="2522"/>
      <c r="P3" s="2522"/>
      <c r="Q3" s="2522"/>
      <c r="R3" s="2522"/>
    </row>
    <row r="4" spans="1:23" s="119" customFormat="1" ht="16.5" customHeight="1" x14ac:dyDescent="0.25">
      <c r="A4" s="2523" t="s">
        <v>1</v>
      </c>
      <c r="B4" s="2523"/>
      <c r="C4" s="2523"/>
      <c r="D4" s="2523"/>
      <c r="E4" s="2523"/>
      <c r="F4" s="2523"/>
      <c r="G4" s="2523"/>
      <c r="H4" s="2523"/>
      <c r="I4" s="2523"/>
      <c r="J4" s="2523"/>
      <c r="K4" s="2523"/>
      <c r="L4" s="2523"/>
      <c r="M4" s="2523"/>
      <c r="N4" s="2523"/>
      <c r="O4" s="2523"/>
      <c r="P4" s="2523"/>
      <c r="Q4" s="2523"/>
      <c r="R4" s="2523"/>
    </row>
    <row r="5" spans="1:23" s="2" customFormat="1" ht="21.75" customHeight="1" thickBot="1" x14ac:dyDescent="0.25">
      <c r="A5" s="2524" t="s">
        <v>2</v>
      </c>
      <c r="B5" s="2524"/>
      <c r="C5" s="2524"/>
      <c r="D5" s="2524"/>
      <c r="E5" s="2524"/>
      <c r="F5" s="2524"/>
      <c r="G5" s="2524"/>
      <c r="H5" s="2524"/>
      <c r="I5" s="2524"/>
      <c r="J5" s="2524"/>
      <c r="K5" s="2524"/>
      <c r="L5" s="2524"/>
      <c r="M5" s="2524"/>
      <c r="N5" s="2524"/>
      <c r="O5" s="2524"/>
      <c r="P5" s="2524"/>
      <c r="Q5" s="2524"/>
      <c r="R5" s="2524"/>
    </row>
    <row r="6" spans="1:23" s="3" customFormat="1" ht="18.75" customHeight="1" x14ac:dyDescent="0.25">
      <c r="A6" s="2525" t="s">
        <v>3</v>
      </c>
      <c r="B6" s="2528" t="s">
        <v>4</v>
      </c>
      <c r="C6" s="2531" t="s">
        <v>5</v>
      </c>
      <c r="D6" s="2531" t="s">
        <v>344</v>
      </c>
      <c r="E6" s="2534" t="s">
        <v>6</v>
      </c>
      <c r="F6" s="2537" t="s">
        <v>7</v>
      </c>
      <c r="G6" s="2506" t="s">
        <v>8</v>
      </c>
      <c r="H6" s="2614" t="s">
        <v>346</v>
      </c>
      <c r="I6" s="2509" t="s">
        <v>9</v>
      </c>
      <c r="J6" s="2608" t="s">
        <v>359</v>
      </c>
      <c r="K6" s="2611" t="s">
        <v>183</v>
      </c>
      <c r="L6" s="2603" t="s">
        <v>299</v>
      </c>
      <c r="M6" s="2605" t="s">
        <v>355</v>
      </c>
      <c r="N6" s="2490" t="s">
        <v>10</v>
      </c>
      <c r="O6" s="2491"/>
      <c r="P6" s="2491"/>
      <c r="Q6" s="2491"/>
      <c r="R6" s="2492"/>
    </row>
    <row r="7" spans="1:23" s="3" customFormat="1" ht="17.25" customHeight="1" x14ac:dyDescent="0.25">
      <c r="A7" s="2526"/>
      <c r="B7" s="2529"/>
      <c r="C7" s="2532"/>
      <c r="D7" s="2532"/>
      <c r="E7" s="2535"/>
      <c r="F7" s="2538"/>
      <c r="G7" s="2507"/>
      <c r="H7" s="2615"/>
      <c r="I7" s="2510"/>
      <c r="J7" s="2609"/>
      <c r="K7" s="2612"/>
      <c r="L7" s="2604"/>
      <c r="M7" s="2606"/>
      <c r="N7" s="2493" t="s">
        <v>6</v>
      </c>
      <c r="O7" s="2495" t="s">
        <v>11</v>
      </c>
      <c r="P7" s="2496"/>
      <c r="Q7" s="2496"/>
      <c r="R7" s="2497"/>
    </row>
    <row r="8" spans="1:23" s="3" customFormat="1" ht="82.5" customHeight="1" thickBot="1" x14ac:dyDescent="0.3">
      <c r="A8" s="2527"/>
      <c r="B8" s="2530"/>
      <c r="C8" s="2533"/>
      <c r="D8" s="2533"/>
      <c r="E8" s="2536"/>
      <c r="F8" s="2539"/>
      <c r="G8" s="2508"/>
      <c r="H8" s="2616"/>
      <c r="I8" s="2511"/>
      <c r="J8" s="2610"/>
      <c r="K8" s="2613"/>
      <c r="L8" s="2604"/>
      <c r="M8" s="2607"/>
      <c r="N8" s="2494"/>
      <c r="O8" s="1305" t="s">
        <v>132</v>
      </c>
      <c r="P8" s="4" t="s">
        <v>184</v>
      </c>
      <c r="Q8" s="1531" t="s">
        <v>302</v>
      </c>
      <c r="R8" s="1790" t="s">
        <v>354</v>
      </c>
    </row>
    <row r="9" spans="1:23" s="2" customFormat="1" ht="16.5" customHeight="1" x14ac:dyDescent="0.25">
      <c r="A9" s="2498" t="s">
        <v>13</v>
      </c>
      <c r="B9" s="2499"/>
      <c r="C9" s="2499"/>
      <c r="D9" s="2499"/>
      <c r="E9" s="2499"/>
      <c r="F9" s="2499"/>
      <c r="G9" s="2499"/>
      <c r="H9" s="2499"/>
      <c r="I9" s="2499"/>
      <c r="J9" s="2499"/>
      <c r="K9" s="2499"/>
      <c r="L9" s="2499"/>
      <c r="M9" s="2499"/>
      <c r="N9" s="2499"/>
      <c r="O9" s="2499"/>
      <c r="P9" s="2499"/>
      <c r="Q9" s="2499"/>
      <c r="R9" s="2500"/>
      <c r="W9" s="3"/>
    </row>
    <row r="10" spans="1:23" s="2" customFormat="1" ht="16.5" customHeight="1" x14ac:dyDescent="0.25">
      <c r="A10" s="2501" t="s">
        <v>14</v>
      </c>
      <c r="B10" s="2502"/>
      <c r="C10" s="2502"/>
      <c r="D10" s="2502"/>
      <c r="E10" s="2502"/>
      <c r="F10" s="2502"/>
      <c r="G10" s="2502"/>
      <c r="H10" s="2502"/>
      <c r="I10" s="2502"/>
      <c r="J10" s="2502"/>
      <c r="K10" s="2502"/>
      <c r="L10" s="2502"/>
      <c r="M10" s="2502"/>
      <c r="N10" s="2502"/>
      <c r="O10" s="2502"/>
      <c r="P10" s="2502"/>
      <c r="Q10" s="2502"/>
      <c r="R10" s="2503"/>
      <c r="S10" s="3"/>
    </row>
    <row r="11" spans="1:23" s="3" customFormat="1" ht="16.5" customHeight="1" x14ac:dyDescent="0.25">
      <c r="A11" s="1503" t="s">
        <v>15</v>
      </c>
      <c r="B11" s="2504" t="s">
        <v>16</v>
      </c>
      <c r="C11" s="2504"/>
      <c r="D11" s="2504"/>
      <c r="E11" s="2504"/>
      <c r="F11" s="2504"/>
      <c r="G11" s="2504"/>
      <c r="H11" s="2504"/>
      <c r="I11" s="2504"/>
      <c r="J11" s="2504"/>
      <c r="K11" s="2504"/>
      <c r="L11" s="2504"/>
      <c r="M11" s="2504"/>
      <c r="N11" s="2504"/>
      <c r="O11" s="2504"/>
      <c r="P11" s="2504"/>
      <c r="Q11" s="2504"/>
      <c r="R11" s="2505"/>
    </row>
    <row r="12" spans="1:23" s="3" customFormat="1" ht="15.75" customHeight="1" thickBot="1" x14ac:dyDescent="0.3">
      <c r="A12" s="1685" t="s">
        <v>15</v>
      </c>
      <c r="B12" s="1502" t="s">
        <v>15</v>
      </c>
      <c r="C12" s="2485" t="s">
        <v>17</v>
      </c>
      <c r="D12" s="2486"/>
      <c r="E12" s="2486"/>
      <c r="F12" s="2486"/>
      <c r="G12" s="2486"/>
      <c r="H12" s="2486"/>
      <c r="I12" s="2486"/>
      <c r="J12" s="2486"/>
      <c r="K12" s="2486"/>
      <c r="L12" s="2486"/>
      <c r="M12" s="2486"/>
      <c r="N12" s="2486"/>
      <c r="O12" s="2486"/>
      <c r="P12" s="2486"/>
      <c r="Q12" s="2486"/>
      <c r="R12" s="2487"/>
    </row>
    <row r="13" spans="1:23" s="3" customFormat="1" ht="16.5" customHeight="1" x14ac:dyDescent="0.25">
      <c r="A13" s="1672" t="s">
        <v>15</v>
      </c>
      <c r="B13" s="6" t="s">
        <v>15</v>
      </c>
      <c r="C13" s="9" t="s">
        <v>15</v>
      </c>
      <c r="D13" s="1736"/>
      <c r="E13" s="2390" t="s">
        <v>18</v>
      </c>
      <c r="F13" s="716"/>
      <c r="G13" s="1690" t="s">
        <v>19</v>
      </c>
      <c r="H13" s="2626" t="s">
        <v>347</v>
      </c>
      <c r="I13" s="1235" t="s">
        <v>22</v>
      </c>
      <c r="J13" s="1871">
        <v>2309.8000000000002</v>
      </c>
      <c r="K13" s="1850">
        <v>3035.5</v>
      </c>
      <c r="L13" s="1828">
        <v>3032.8</v>
      </c>
      <c r="M13" s="1243"/>
      <c r="N13" s="2640" t="s">
        <v>23</v>
      </c>
      <c r="O13" s="1774">
        <v>1000</v>
      </c>
      <c r="P13" s="1178">
        <v>1000</v>
      </c>
      <c r="Q13" s="1122">
        <v>1000</v>
      </c>
      <c r="R13" s="107">
        <v>1000</v>
      </c>
      <c r="S13" s="1278"/>
      <c r="T13" s="1278"/>
      <c r="U13" s="1278"/>
    </row>
    <row r="14" spans="1:23" s="3" customFormat="1" ht="16.5" customHeight="1" x14ac:dyDescent="0.25">
      <c r="A14" s="1673"/>
      <c r="B14" s="8"/>
      <c r="C14" s="9"/>
      <c r="D14" s="1737"/>
      <c r="E14" s="2390"/>
      <c r="F14" s="716"/>
      <c r="G14" s="1690"/>
      <c r="H14" s="2627"/>
      <c r="I14" s="1009" t="s">
        <v>164</v>
      </c>
      <c r="J14" s="1872">
        <v>324.5</v>
      </c>
      <c r="K14" s="1851"/>
      <c r="L14" s="1829"/>
      <c r="M14" s="1481"/>
      <c r="N14" s="2649"/>
      <c r="O14" s="1366"/>
      <c r="P14" s="1184"/>
      <c r="Q14" s="1697"/>
      <c r="R14" s="108"/>
      <c r="S14" s="1278"/>
      <c r="T14" s="1278"/>
      <c r="U14" s="1278"/>
    </row>
    <row r="15" spans="1:23" s="3" customFormat="1" ht="20.25" customHeight="1" x14ac:dyDescent="0.25">
      <c r="A15" s="1673"/>
      <c r="B15" s="8"/>
      <c r="C15" s="9"/>
      <c r="D15" s="1737"/>
      <c r="E15" s="2390"/>
      <c r="F15" s="716"/>
      <c r="G15" s="1690"/>
      <c r="H15" s="2627"/>
      <c r="I15" s="1235"/>
      <c r="J15" s="1873"/>
      <c r="K15" s="1852"/>
      <c r="L15" s="1830"/>
      <c r="M15" s="1244"/>
      <c r="N15" s="2650" t="s">
        <v>24</v>
      </c>
      <c r="O15" s="1776">
        <v>4500</v>
      </c>
      <c r="P15" s="1291">
        <v>4500</v>
      </c>
      <c r="Q15" s="548">
        <v>4500</v>
      </c>
      <c r="R15" s="396">
        <v>4500</v>
      </c>
      <c r="S15" s="1278"/>
      <c r="T15" s="1278"/>
      <c r="U15" s="1278"/>
    </row>
    <row r="16" spans="1:23" s="3" customFormat="1" ht="20.25" customHeight="1" x14ac:dyDescent="0.25">
      <c r="A16" s="1673"/>
      <c r="B16" s="8"/>
      <c r="C16" s="9"/>
      <c r="D16" s="1737"/>
      <c r="E16" s="2390"/>
      <c r="F16" s="716"/>
      <c r="G16" s="1690"/>
      <c r="H16" s="37"/>
      <c r="I16" s="1235"/>
      <c r="J16" s="1873"/>
      <c r="K16" s="1852"/>
      <c r="L16" s="1830"/>
      <c r="M16" s="1244"/>
      <c r="N16" s="2651"/>
      <c r="O16" s="1366"/>
      <c r="P16" s="1184"/>
      <c r="Q16" s="1697"/>
      <c r="R16" s="108"/>
    </row>
    <row r="17" spans="1:21" s="3" customFormat="1" ht="54" customHeight="1" x14ac:dyDescent="0.25">
      <c r="A17" s="1673"/>
      <c r="B17" s="8"/>
      <c r="C17" s="9"/>
      <c r="D17" s="1737"/>
      <c r="E17" s="2390"/>
      <c r="F17" s="716"/>
      <c r="G17" s="1690"/>
      <c r="H17" s="37"/>
      <c r="I17" s="1235"/>
      <c r="J17" s="1874"/>
      <c r="K17" s="1853"/>
      <c r="L17" s="1825"/>
      <c r="M17" s="1831"/>
      <c r="N17" s="53" t="s">
        <v>25</v>
      </c>
      <c r="O17" s="1775">
        <v>90</v>
      </c>
      <c r="P17" s="1179">
        <v>90</v>
      </c>
      <c r="Q17" s="1084">
        <v>90</v>
      </c>
      <c r="R17" s="1079">
        <v>90</v>
      </c>
    </row>
    <row r="18" spans="1:21" s="3" customFormat="1" ht="54.75" customHeight="1" x14ac:dyDescent="0.25">
      <c r="A18" s="1673"/>
      <c r="B18" s="8"/>
      <c r="C18" s="9"/>
      <c r="D18" s="1738" t="s">
        <v>15</v>
      </c>
      <c r="E18" s="2330" t="s">
        <v>21</v>
      </c>
      <c r="F18" s="716"/>
      <c r="G18" s="1690"/>
      <c r="H18" s="37"/>
      <c r="I18" s="1009" t="s">
        <v>20</v>
      </c>
      <c r="J18" s="1872">
        <v>861.9</v>
      </c>
      <c r="K18" s="1851">
        <v>879.8</v>
      </c>
      <c r="L18" s="1826">
        <v>883.8</v>
      </c>
      <c r="M18" s="1481"/>
      <c r="N18" s="53" t="s">
        <v>103</v>
      </c>
      <c r="O18" s="1775">
        <v>5</v>
      </c>
      <c r="P18" s="1179">
        <v>5</v>
      </c>
      <c r="Q18" s="1084">
        <v>5</v>
      </c>
      <c r="R18" s="1079">
        <v>5</v>
      </c>
    </row>
    <row r="19" spans="1:21" s="3" customFormat="1" ht="41.25" customHeight="1" x14ac:dyDescent="0.25">
      <c r="A19" s="1673"/>
      <c r="B19" s="8"/>
      <c r="C19" s="9"/>
      <c r="D19" s="1737"/>
      <c r="E19" s="2331"/>
      <c r="F19" s="716"/>
      <c r="G19" s="1690"/>
      <c r="H19" s="37"/>
      <c r="I19" s="709"/>
      <c r="J19" s="1873"/>
      <c r="K19" s="1852"/>
      <c r="L19" s="244"/>
      <c r="M19" s="1244"/>
      <c r="N19" s="66" t="s">
        <v>102</v>
      </c>
      <c r="O19" s="1776">
        <v>185</v>
      </c>
      <c r="P19" s="1291">
        <v>185</v>
      </c>
      <c r="Q19" s="548">
        <v>185</v>
      </c>
      <c r="R19" s="396">
        <v>185</v>
      </c>
    </row>
    <row r="20" spans="1:21" s="3" customFormat="1" ht="36.75" customHeight="1" x14ac:dyDescent="0.25">
      <c r="A20" s="1673"/>
      <c r="B20" s="8"/>
      <c r="C20" s="9"/>
      <c r="D20" s="1737"/>
      <c r="E20" s="2331"/>
      <c r="F20" s="716"/>
      <c r="G20" s="1690"/>
      <c r="H20" s="37"/>
      <c r="I20" s="95"/>
      <c r="J20" s="1874"/>
      <c r="K20" s="1853"/>
      <c r="L20" s="1825"/>
      <c r="M20" s="1831"/>
      <c r="N20" s="2646" t="s">
        <v>104</v>
      </c>
      <c r="O20" s="1776">
        <v>45</v>
      </c>
      <c r="P20" s="1291">
        <v>50</v>
      </c>
      <c r="Q20" s="548">
        <v>55</v>
      </c>
      <c r="R20" s="396">
        <v>55</v>
      </c>
    </row>
    <row r="21" spans="1:21" s="3" customFormat="1" ht="17.25" customHeight="1" x14ac:dyDescent="0.25">
      <c r="A21" s="1673"/>
      <c r="B21" s="8"/>
      <c r="C21" s="9"/>
      <c r="D21" s="1739"/>
      <c r="E21" s="2519"/>
      <c r="F21" s="716"/>
      <c r="G21" s="1690"/>
      <c r="H21" s="37"/>
      <c r="I21" s="1236" t="s">
        <v>26</v>
      </c>
      <c r="J21" s="1875">
        <f>SUM(J13:J20)</f>
        <v>3496.2000000000003</v>
      </c>
      <c r="K21" s="1854">
        <f t="shared" ref="K21:L21" si="0">SUM(K13:K20)</f>
        <v>3915.3</v>
      </c>
      <c r="L21" s="220">
        <f t="shared" si="0"/>
        <v>3916.6000000000004</v>
      </c>
      <c r="M21" s="1025">
        <f t="shared" ref="M21" si="1">SUM(M13:M20)</f>
        <v>0</v>
      </c>
      <c r="N21" s="2647"/>
      <c r="O21" s="191"/>
      <c r="P21" s="1094"/>
      <c r="Q21" s="1696"/>
      <c r="R21" s="1489"/>
    </row>
    <row r="22" spans="1:21" s="3" customFormat="1" ht="26.25" customHeight="1" x14ac:dyDescent="0.25">
      <c r="A22" s="1673"/>
      <c r="B22" s="8"/>
      <c r="C22" s="9"/>
      <c r="D22" s="1737" t="s">
        <v>35</v>
      </c>
      <c r="E22" s="2469" t="s">
        <v>27</v>
      </c>
      <c r="F22" s="2284" t="s">
        <v>119</v>
      </c>
      <c r="G22" s="1690"/>
      <c r="H22" s="37"/>
      <c r="I22" s="12" t="s">
        <v>20</v>
      </c>
      <c r="J22" s="1590">
        <v>1959</v>
      </c>
      <c r="K22" s="1855">
        <v>3448.9</v>
      </c>
      <c r="L22" s="324">
        <v>3513</v>
      </c>
      <c r="M22" s="1840"/>
      <c r="N22" s="2648" t="s">
        <v>28</v>
      </c>
      <c r="O22" s="1809">
        <v>657</v>
      </c>
      <c r="P22" s="1221">
        <v>667</v>
      </c>
      <c r="Q22" s="1062">
        <v>667</v>
      </c>
      <c r="R22" s="396">
        <v>667</v>
      </c>
      <c r="T22" s="1279"/>
      <c r="U22" s="1278"/>
    </row>
    <row r="23" spans="1:21" s="3" customFormat="1" ht="16.5" customHeight="1" x14ac:dyDescent="0.25">
      <c r="A23" s="1673"/>
      <c r="B23" s="8"/>
      <c r="C23" s="9"/>
      <c r="D23" s="1737"/>
      <c r="E23" s="2470"/>
      <c r="F23" s="2285"/>
      <c r="G23" s="1690"/>
      <c r="H23" s="37"/>
      <c r="I23" s="1237" t="s">
        <v>26</v>
      </c>
      <c r="J23" s="1875">
        <f>SUM(J22:J22)</f>
        <v>1959</v>
      </c>
      <c r="K23" s="1854">
        <f>SUM(K22:K22)</f>
        <v>3448.9</v>
      </c>
      <c r="L23" s="220">
        <f>SUM(L22:L22)</f>
        <v>3513</v>
      </c>
      <c r="M23" s="1025">
        <f>SUM(M22:M22)</f>
        <v>0</v>
      </c>
      <c r="N23" s="2649"/>
      <c r="O23" s="1810"/>
      <c r="P23" s="1799"/>
      <c r="Q23" s="1697"/>
      <c r="R23" s="108"/>
    </row>
    <row r="24" spans="1:21" s="3" customFormat="1" ht="27.75" customHeight="1" x14ac:dyDescent="0.25">
      <c r="A24" s="1673"/>
      <c r="B24" s="8"/>
      <c r="C24" s="9"/>
      <c r="D24" s="1738" t="s">
        <v>39</v>
      </c>
      <c r="E24" s="2469" t="s">
        <v>29</v>
      </c>
      <c r="F24" s="197"/>
      <c r="G24" s="1690"/>
      <c r="H24" s="37"/>
      <c r="I24" s="95" t="s">
        <v>20</v>
      </c>
      <c r="J24" s="1876">
        <v>768</v>
      </c>
      <c r="K24" s="1856">
        <v>768</v>
      </c>
      <c r="L24" s="221">
        <v>768</v>
      </c>
      <c r="M24" s="1841"/>
      <c r="N24" s="2645" t="s">
        <v>30</v>
      </c>
      <c r="O24" s="2631">
        <v>51</v>
      </c>
      <c r="P24" s="1800">
        <v>51</v>
      </c>
      <c r="Q24" s="1696">
        <v>51</v>
      </c>
      <c r="R24" s="1489">
        <v>51</v>
      </c>
    </row>
    <row r="25" spans="1:21" s="3" customFormat="1" ht="16.5" customHeight="1" x14ac:dyDescent="0.25">
      <c r="A25" s="1673"/>
      <c r="B25" s="8"/>
      <c r="C25" s="9"/>
      <c r="D25" s="1737"/>
      <c r="E25" s="2470"/>
      <c r="F25" s="198"/>
      <c r="G25" s="1690"/>
      <c r="H25" s="37"/>
      <c r="I25" s="1237" t="s">
        <v>26</v>
      </c>
      <c r="J25" s="1875">
        <f>+J24</f>
        <v>768</v>
      </c>
      <c r="K25" s="1854">
        <f>+K24</f>
        <v>768</v>
      </c>
      <c r="L25" s="220">
        <f>+L24</f>
        <v>768</v>
      </c>
      <c r="M25" s="1025">
        <f>+M24</f>
        <v>0</v>
      </c>
      <c r="N25" s="2649"/>
      <c r="O25" s="2644"/>
      <c r="P25" s="1799"/>
      <c r="Q25" s="1697"/>
      <c r="R25" s="108"/>
    </row>
    <row r="26" spans="1:21" s="3" customFormat="1" ht="38.25" customHeight="1" x14ac:dyDescent="0.25">
      <c r="A26" s="1673"/>
      <c r="B26" s="8"/>
      <c r="C26" s="9"/>
      <c r="D26" s="1737" t="s">
        <v>41</v>
      </c>
      <c r="E26" s="2469" t="s">
        <v>31</v>
      </c>
      <c r="F26" s="2480" t="s">
        <v>114</v>
      </c>
      <c r="G26" s="1690"/>
      <c r="H26" s="37"/>
      <c r="I26" s="95" t="s">
        <v>20</v>
      </c>
      <c r="J26" s="1877">
        <v>362.6</v>
      </c>
      <c r="K26" s="1857">
        <v>395.5</v>
      </c>
      <c r="L26" s="255">
        <v>395.5</v>
      </c>
      <c r="M26" s="1543"/>
      <c r="N26" s="2645" t="s">
        <v>32</v>
      </c>
      <c r="O26" s="1811" t="s">
        <v>340</v>
      </c>
      <c r="P26" s="1801" t="s">
        <v>287</v>
      </c>
      <c r="Q26" s="37">
        <v>1128</v>
      </c>
      <c r="R26" s="700">
        <v>1128</v>
      </c>
    </row>
    <row r="27" spans="1:21" s="3" customFormat="1" ht="16.5" customHeight="1" x14ac:dyDescent="0.25">
      <c r="A27" s="1673"/>
      <c r="B27" s="8"/>
      <c r="C27" s="9"/>
      <c r="D27" s="1737"/>
      <c r="E27" s="2469"/>
      <c r="F27" s="2481"/>
      <c r="G27" s="1690"/>
      <c r="H27" s="37"/>
      <c r="I27" s="1237" t="s">
        <v>26</v>
      </c>
      <c r="J27" s="1591">
        <f>+J26</f>
        <v>362.6</v>
      </c>
      <c r="K27" s="1858">
        <f>+K26</f>
        <v>395.5</v>
      </c>
      <c r="L27" s="219">
        <f>+L26</f>
        <v>395.5</v>
      </c>
      <c r="M27" s="919">
        <f>+M26</f>
        <v>0</v>
      </c>
      <c r="N27" s="2645"/>
      <c r="O27" s="1812" t="s">
        <v>189</v>
      </c>
      <c r="P27" s="1802" t="s">
        <v>189</v>
      </c>
      <c r="Q27" s="1141">
        <v>700</v>
      </c>
      <c r="R27" s="94">
        <v>700</v>
      </c>
    </row>
    <row r="28" spans="1:21" s="3" customFormat="1" ht="36.75" customHeight="1" x14ac:dyDescent="0.25">
      <c r="A28" s="2406"/>
      <c r="B28" s="2407"/>
      <c r="C28" s="1682"/>
      <c r="D28" s="1745" t="s">
        <v>42</v>
      </c>
      <c r="E28" s="2472" t="s">
        <v>33</v>
      </c>
      <c r="F28" s="2483" t="s">
        <v>114</v>
      </c>
      <c r="G28" s="1670"/>
      <c r="H28" s="1763"/>
      <c r="I28" s="95" t="s">
        <v>22</v>
      </c>
      <c r="J28" s="1592">
        <v>71.099999999999994</v>
      </c>
      <c r="K28" s="1857">
        <v>69.3</v>
      </c>
      <c r="L28" s="1832">
        <v>69.3</v>
      </c>
      <c r="M28" s="1137"/>
      <c r="N28" s="690" t="s">
        <v>105</v>
      </c>
      <c r="O28" s="1813">
        <v>1128</v>
      </c>
      <c r="P28" s="545">
        <v>1128</v>
      </c>
      <c r="Q28" s="1791">
        <v>1128</v>
      </c>
      <c r="R28" s="1152">
        <v>1128</v>
      </c>
    </row>
    <row r="29" spans="1:21" s="3" customFormat="1" ht="21" customHeight="1" x14ac:dyDescent="0.25">
      <c r="A29" s="2406"/>
      <c r="B29" s="2407"/>
      <c r="C29" s="1682"/>
      <c r="D29" s="1741"/>
      <c r="E29" s="2470"/>
      <c r="F29" s="2484"/>
      <c r="G29" s="1670"/>
      <c r="H29" s="1763"/>
      <c r="I29" s="471" t="s">
        <v>26</v>
      </c>
      <c r="J29" s="1875">
        <f>+J28</f>
        <v>71.099999999999994</v>
      </c>
      <c r="K29" s="1854">
        <f>+K28</f>
        <v>69.3</v>
      </c>
      <c r="L29" s="1024">
        <f>+L28</f>
        <v>69.3</v>
      </c>
      <c r="M29" s="1025">
        <f>+M28</f>
        <v>0</v>
      </c>
      <c r="N29" s="96"/>
      <c r="O29" s="15"/>
      <c r="P29" s="431"/>
      <c r="Q29" s="100"/>
      <c r="R29" s="1701"/>
    </row>
    <row r="30" spans="1:21" s="2" customFormat="1" ht="17.25" customHeight="1" x14ac:dyDescent="0.25">
      <c r="A30" s="2406"/>
      <c r="B30" s="2407"/>
      <c r="C30" s="1682"/>
      <c r="D30" s="1740" t="s">
        <v>60</v>
      </c>
      <c r="E30" s="2469" t="s">
        <v>248</v>
      </c>
      <c r="F30" s="2471" t="s">
        <v>123</v>
      </c>
      <c r="G30" s="2388"/>
      <c r="H30" s="1763"/>
      <c r="I30" s="1238" t="s">
        <v>20</v>
      </c>
      <c r="J30" s="1580">
        <v>397.6</v>
      </c>
      <c r="K30" s="1859">
        <v>91.6</v>
      </c>
      <c r="L30" s="1833"/>
      <c r="M30" s="1092"/>
      <c r="N30" s="2469" t="s">
        <v>148</v>
      </c>
      <c r="O30" s="191">
        <v>108</v>
      </c>
      <c r="P30" s="111">
        <v>108</v>
      </c>
      <c r="Q30" s="416"/>
      <c r="R30" s="287"/>
      <c r="U30" s="3"/>
    </row>
    <row r="31" spans="1:21" s="2" customFormat="1" ht="17.25" customHeight="1" x14ac:dyDescent="0.25">
      <c r="A31" s="2406"/>
      <c r="B31" s="2407"/>
      <c r="C31" s="1682"/>
      <c r="D31" s="1740"/>
      <c r="E31" s="2469"/>
      <c r="F31" s="2471"/>
      <c r="G31" s="2388"/>
      <c r="H31" s="1763"/>
      <c r="I31" s="1239" t="s">
        <v>168</v>
      </c>
      <c r="J31" s="1625">
        <v>93.1</v>
      </c>
      <c r="K31" s="1860">
        <v>28.5</v>
      </c>
      <c r="L31" s="1834"/>
      <c r="M31" s="1093"/>
      <c r="N31" s="2469"/>
      <c r="O31" s="191"/>
      <c r="P31" s="111"/>
      <c r="Q31" s="416"/>
      <c r="R31" s="287"/>
    </row>
    <row r="32" spans="1:21" s="2" customFormat="1" ht="17.25" customHeight="1" x14ac:dyDescent="0.25">
      <c r="A32" s="1673"/>
      <c r="B32" s="1675"/>
      <c r="C32" s="1682"/>
      <c r="D32" s="1740"/>
      <c r="E32" s="2469"/>
      <c r="F32" s="2471"/>
      <c r="G32" s="2388"/>
      <c r="H32" s="1763"/>
      <c r="I32" s="1239" t="s">
        <v>180</v>
      </c>
      <c r="J32" s="1878">
        <v>207</v>
      </c>
      <c r="K32" s="1856"/>
      <c r="L32" s="1835"/>
      <c r="M32" s="1136"/>
      <c r="N32" s="2469"/>
      <c r="O32" s="191"/>
      <c r="P32" s="111"/>
      <c r="Q32" s="416"/>
      <c r="R32" s="287"/>
      <c r="S32" s="3"/>
    </row>
    <row r="33" spans="1:23" s="2" customFormat="1" ht="17.25" customHeight="1" x14ac:dyDescent="0.25">
      <c r="A33" s="1673"/>
      <c r="B33" s="1675"/>
      <c r="C33" s="1682"/>
      <c r="D33" s="1740"/>
      <c r="E33" s="2470"/>
      <c r="F33" s="2475"/>
      <c r="G33" s="2388"/>
      <c r="H33" s="1763"/>
      <c r="I33" s="1237" t="s">
        <v>26</v>
      </c>
      <c r="J33" s="1591">
        <f>SUM(J30:J32)</f>
        <v>697.7</v>
      </c>
      <c r="K33" s="1858">
        <f>SUM(K30:K32)</f>
        <v>120.1</v>
      </c>
      <c r="L33" s="1024"/>
      <c r="M33" s="1025"/>
      <c r="N33" s="1707"/>
      <c r="O33" s="862"/>
      <c r="P33" s="37"/>
      <c r="Q33" s="1708"/>
      <c r="R33" s="700"/>
      <c r="S33" s="3"/>
    </row>
    <row r="34" spans="1:23" s="2" customFormat="1" ht="15.75" customHeight="1" x14ac:dyDescent="0.25">
      <c r="A34" s="1673"/>
      <c r="B34" s="1675"/>
      <c r="C34" s="1682"/>
      <c r="D34" s="1745" t="s">
        <v>61</v>
      </c>
      <c r="E34" s="2469" t="s">
        <v>288</v>
      </c>
      <c r="F34" s="2471"/>
      <c r="G34" s="2388"/>
      <c r="H34" s="1763"/>
      <c r="I34" s="1238" t="s">
        <v>22</v>
      </c>
      <c r="J34" s="1602">
        <v>111.1</v>
      </c>
      <c r="K34" s="1861">
        <v>181.5</v>
      </c>
      <c r="L34" s="255">
        <v>181.5</v>
      </c>
      <c r="M34" s="1543"/>
      <c r="N34" s="2370" t="s">
        <v>315</v>
      </c>
      <c r="O34" s="175">
        <v>9</v>
      </c>
      <c r="P34" s="1803">
        <v>20</v>
      </c>
      <c r="Q34" s="1792">
        <v>20</v>
      </c>
      <c r="R34" s="1793">
        <v>20</v>
      </c>
      <c r="S34" s="1290"/>
      <c r="T34" s="1290"/>
      <c r="U34" s="1290"/>
    </row>
    <row r="35" spans="1:23" s="2" customFormat="1" ht="15.75" customHeight="1" x14ac:dyDescent="0.25">
      <c r="A35" s="1673"/>
      <c r="B35" s="1675"/>
      <c r="C35" s="1682"/>
      <c r="D35" s="1741"/>
      <c r="E35" s="2470"/>
      <c r="F35" s="2471"/>
      <c r="G35" s="2388"/>
      <c r="H35" s="1763"/>
      <c r="I35" s="1237" t="s">
        <v>26</v>
      </c>
      <c r="J35" s="1879">
        <f>SUM(J34:J34)</f>
        <v>111.1</v>
      </c>
      <c r="K35" s="1862">
        <f>SUM(K34:K34)</f>
        <v>181.5</v>
      </c>
      <c r="L35" s="422">
        <f>SUM(L34:L34)</f>
        <v>181.5</v>
      </c>
      <c r="M35" s="1842">
        <f>SUM(M34:M34)</f>
        <v>0</v>
      </c>
      <c r="N35" s="2371"/>
      <c r="O35" s="1814"/>
      <c r="P35" s="423"/>
      <c r="Q35" s="1402"/>
      <c r="R35" s="1101"/>
      <c r="V35" s="3"/>
    </row>
    <row r="36" spans="1:23" s="2" customFormat="1" ht="27.75" customHeight="1" x14ac:dyDescent="0.25">
      <c r="A36" s="1673"/>
      <c r="B36" s="1675"/>
      <c r="C36" s="1682"/>
      <c r="D36" s="1740" t="s">
        <v>95</v>
      </c>
      <c r="E36" s="2472" t="s">
        <v>177</v>
      </c>
      <c r="F36" s="2471"/>
      <c r="G36" s="2388"/>
      <c r="H36" s="1763"/>
      <c r="I36" s="1008" t="s">
        <v>37</v>
      </c>
      <c r="J36" s="1602">
        <v>109.1</v>
      </c>
      <c r="K36" s="1861"/>
      <c r="L36" s="1705"/>
      <c r="M36" s="1843"/>
      <c r="N36" s="2370" t="s">
        <v>178</v>
      </c>
      <c r="O36" s="175">
        <v>30</v>
      </c>
      <c r="P36" s="1098"/>
      <c r="Q36" s="467"/>
      <c r="R36" s="419"/>
    </row>
    <row r="37" spans="1:23" s="2" customFormat="1" ht="17.25" customHeight="1" x14ac:dyDescent="0.25">
      <c r="A37" s="1673"/>
      <c r="B37" s="1675"/>
      <c r="C37" s="1682"/>
      <c r="D37" s="1740"/>
      <c r="E37" s="2469"/>
      <c r="F37" s="2471"/>
      <c r="G37" s="2388"/>
      <c r="H37" s="1763"/>
      <c r="I37" s="1236" t="s">
        <v>26</v>
      </c>
      <c r="J37" s="1617">
        <f>SUM(J36:J36)</f>
        <v>109.1</v>
      </c>
      <c r="K37" s="1863">
        <f>SUM(K36:K36)</f>
        <v>0</v>
      </c>
      <c r="L37" s="336">
        <f>SUM(L36:L36)</f>
        <v>0</v>
      </c>
      <c r="M37" s="1844">
        <f>SUM(M36:M36)</f>
        <v>0</v>
      </c>
      <c r="N37" s="2384"/>
      <c r="O37" s="1815"/>
      <c r="P37" s="425"/>
      <c r="Q37" s="1100"/>
      <c r="R37" s="426"/>
    </row>
    <row r="38" spans="1:23" s="2" customFormat="1" ht="64.5" customHeight="1" x14ac:dyDescent="0.25">
      <c r="A38" s="1673"/>
      <c r="B38" s="1675"/>
      <c r="C38" s="1687"/>
      <c r="D38" s="1746" t="s">
        <v>96</v>
      </c>
      <c r="E38" s="1031" t="s">
        <v>191</v>
      </c>
      <c r="F38" s="1280"/>
      <c r="G38" s="536"/>
      <c r="H38" s="3"/>
      <c r="I38" s="1240"/>
      <c r="J38" s="1880"/>
      <c r="K38" s="1864"/>
      <c r="L38" s="428"/>
      <c r="M38" s="1845"/>
      <c r="N38" s="1231" t="s">
        <v>192</v>
      </c>
      <c r="O38" s="1816">
        <v>2500</v>
      </c>
      <c r="P38" s="1433">
        <v>2500</v>
      </c>
      <c r="Q38" s="1434">
        <v>2500</v>
      </c>
      <c r="R38" s="1148">
        <v>2500</v>
      </c>
      <c r="W38" s="3"/>
    </row>
    <row r="39" spans="1:23" s="2" customFormat="1" ht="53.25" customHeight="1" x14ac:dyDescent="0.25">
      <c r="A39" s="1673"/>
      <c r="B39" s="1675"/>
      <c r="C39" s="1682"/>
      <c r="D39" s="1740" t="s">
        <v>345</v>
      </c>
      <c r="E39" s="2288" t="s">
        <v>228</v>
      </c>
      <c r="F39" s="208"/>
      <c r="G39" s="536"/>
      <c r="H39" s="3"/>
      <c r="I39" s="1423"/>
      <c r="J39" s="1881"/>
      <c r="K39" s="1865"/>
      <c r="L39" s="572"/>
      <c r="M39" s="1846"/>
      <c r="N39" s="498" t="s">
        <v>192</v>
      </c>
      <c r="O39" s="1815">
        <v>2500</v>
      </c>
      <c r="P39" s="425">
        <v>2500</v>
      </c>
      <c r="Q39" s="1100">
        <v>2500</v>
      </c>
      <c r="R39" s="426">
        <v>2500</v>
      </c>
    </row>
    <row r="40" spans="1:23" s="2" customFormat="1" ht="17.25" customHeight="1" thickBot="1" x14ac:dyDescent="0.3">
      <c r="A40" s="1685"/>
      <c r="B40" s="1686"/>
      <c r="C40" s="714"/>
      <c r="D40" s="1742"/>
      <c r="E40" s="2433"/>
      <c r="F40" s="2352" t="s">
        <v>34</v>
      </c>
      <c r="G40" s="2353"/>
      <c r="H40" s="2353"/>
      <c r="I40" s="2353"/>
      <c r="J40" s="1597">
        <f>J33+J29+J27+J25+J23+J21+J35+J37</f>
        <v>7574.8000000000011</v>
      </c>
      <c r="K40" s="839">
        <f>K33+K29+K27+K25+K23+K21+K35+K37</f>
        <v>8898.6</v>
      </c>
      <c r="L40" s="223">
        <f>L33+L29+L27+L25+L23+L21+L35+L37</f>
        <v>8843.9000000000015</v>
      </c>
      <c r="M40" s="381">
        <f>M33+M29+M27+M25+M23+M21+M35+M37</f>
        <v>0</v>
      </c>
      <c r="N40" s="500"/>
      <c r="O40" s="1817"/>
      <c r="P40" s="35"/>
      <c r="Q40" s="372"/>
      <c r="R40" s="201"/>
      <c r="S40" s="3"/>
    </row>
    <row r="41" spans="1:23" s="3" customFormat="1" ht="64.5" customHeight="1" x14ac:dyDescent="0.25">
      <c r="A41" s="2406" t="s">
        <v>15</v>
      </c>
      <c r="B41" s="2407" t="s">
        <v>15</v>
      </c>
      <c r="C41" s="2642" t="s">
        <v>35</v>
      </c>
      <c r="D41" s="1737"/>
      <c r="E41" s="2288" t="s">
        <v>36</v>
      </c>
      <c r="F41" s="2465"/>
      <c r="G41" s="2467" t="s">
        <v>19</v>
      </c>
      <c r="H41" s="425" t="s">
        <v>347</v>
      </c>
      <c r="I41" s="709" t="s">
        <v>37</v>
      </c>
      <c r="J41" s="1882">
        <v>8767.5</v>
      </c>
      <c r="K41" s="1866">
        <v>8767.5</v>
      </c>
      <c r="L41" s="1836">
        <v>8767.5</v>
      </c>
      <c r="M41" s="1847"/>
      <c r="N41" s="717" t="s">
        <v>316</v>
      </c>
      <c r="O41" s="191">
        <v>4300</v>
      </c>
      <c r="P41" s="1800">
        <v>4300</v>
      </c>
      <c r="Q41" s="1696">
        <v>4300</v>
      </c>
      <c r="R41" s="1489">
        <v>4300</v>
      </c>
    </row>
    <row r="42" spans="1:23" s="3" customFormat="1" ht="16.5" customHeight="1" thickBot="1" x14ac:dyDescent="0.3">
      <c r="A42" s="2450"/>
      <c r="B42" s="2452"/>
      <c r="C42" s="2643"/>
      <c r="D42" s="1743"/>
      <c r="E42" s="2433"/>
      <c r="F42" s="2466"/>
      <c r="G42" s="2468"/>
      <c r="H42" s="35"/>
      <c r="I42" s="367" t="s">
        <v>26</v>
      </c>
      <c r="J42" s="1597">
        <f>+J41</f>
        <v>8767.5</v>
      </c>
      <c r="K42" s="839">
        <f>+K41</f>
        <v>8767.5</v>
      </c>
      <c r="L42" s="346">
        <f>+L41</f>
        <v>8767.5</v>
      </c>
      <c r="M42" s="381">
        <f>+M41</f>
        <v>0</v>
      </c>
      <c r="N42" s="97"/>
      <c r="O42" s="1818"/>
      <c r="P42" s="177"/>
      <c r="Q42" s="373"/>
      <c r="R42" s="692"/>
    </row>
    <row r="43" spans="1:23" s="3" customFormat="1" ht="30" customHeight="1" x14ac:dyDescent="0.25">
      <c r="A43" s="1672" t="s">
        <v>15</v>
      </c>
      <c r="B43" s="6" t="s">
        <v>15</v>
      </c>
      <c r="C43" s="1734" t="s">
        <v>39</v>
      </c>
      <c r="D43" s="1736"/>
      <c r="E43" s="2432" t="s">
        <v>40</v>
      </c>
      <c r="F43" s="196"/>
      <c r="G43" s="105" t="s">
        <v>19</v>
      </c>
      <c r="H43" s="2623" t="s">
        <v>347</v>
      </c>
      <c r="I43" s="196" t="s">
        <v>37</v>
      </c>
      <c r="J43" s="1883">
        <v>17720.599999999999</v>
      </c>
      <c r="K43" s="1867">
        <v>17720.599999999999</v>
      </c>
      <c r="L43" s="1827">
        <v>17720.599999999999</v>
      </c>
      <c r="M43" s="1848"/>
      <c r="N43" s="2638" t="s">
        <v>316</v>
      </c>
      <c r="O43" s="1819">
        <v>32000</v>
      </c>
      <c r="P43" s="1306">
        <v>32000</v>
      </c>
      <c r="Q43" s="1122">
        <v>32000</v>
      </c>
      <c r="R43" s="107">
        <v>32000</v>
      </c>
    </row>
    <row r="44" spans="1:23" s="3" customFormat="1" ht="16.5" customHeight="1" thickBot="1" x14ac:dyDescent="0.3">
      <c r="A44" s="1685"/>
      <c r="B44" s="34"/>
      <c r="C44" s="1735"/>
      <c r="D44" s="1743"/>
      <c r="E44" s="2433"/>
      <c r="F44" s="35"/>
      <c r="G44" s="1691"/>
      <c r="H44" s="2625"/>
      <c r="I44" s="367" t="s">
        <v>26</v>
      </c>
      <c r="J44" s="1597">
        <f>+J43</f>
        <v>17720.599999999999</v>
      </c>
      <c r="K44" s="839">
        <f>+K43</f>
        <v>17720.599999999999</v>
      </c>
      <c r="L44" s="346">
        <f>+L43</f>
        <v>17720.599999999999</v>
      </c>
      <c r="M44" s="381">
        <f>+M43</f>
        <v>0</v>
      </c>
      <c r="N44" s="2639"/>
      <c r="O44" s="1820"/>
      <c r="P44" s="1804"/>
      <c r="Q44" s="1783"/>
      <c r="R44" s="1794"/>
    </row>
    <row r="45" spans="1:23" s="2" customFormat="1" ht="54" customHeight="1" x14ac:dyDescent="0.25">
      <c r="A45" s="2449" t="s">
        <v>15</v>
      </c>
      <c r="B45" s="2451" t="s">
        <v>15</v>
      </c>
      <c r="C45" s="2628" t="s">
        <v>41</v>
      </c>
      <c r="D45" s="1744"/>
      <c r="E45" s="2432" t="s">
        <v>170</v>
      </c>
      <c r="F45" s="196"/>
      <c r="G45" s="1680" t="s">
        <v>19</v>
      </c>
      <c r="H45" s="2623" t="s">
        <v>347</v>
      </c>
      <c r="I45" s="1241" t="s">
        <v>22</v>
      </c>
      <c r="J45" s="1884">
        <f>600-100</f>
        <v>500</v>
      </c>
      <c r="K45" s="1868">
        <f>790-40-250</f>
        <v>500</v>
      </c>
      <c r="L45" s="1837">
        <f>790-40-250</f>
        <v>500</v>
      </c>
      <c r="M45" s="1849"/>
      <c r="N45" s="2640" t="s">
        <v>171</v>
      </c>
      <c r="O45" s="1774">
        <v>450</v>
      </c>
      <c r="P45" s="1306">
        <v>450</v>
      </c>
      <c r="Q45" s="1122">
        <v>450</v>
      </c>
      <c r="R45" s="107">
        <v>450</v>
      </c>
      <c r="S45" s="1532"/>
    </row>
    <row r="46" spans="1:23" s="3" customFormat="1" ht="16.5" customHeight="1" thickBot="1" x14ac:dyDescent="0.3">
      <c r="A46" s="2450"/>
      <c r="B46" s="2452"/>
      <c r="C46" s="2629"/>
      <c r="D46" s="1742"/>
      <c r="E46" s="2433"/>
      <c r="F46" s="35"/>
      <c r="G46" s="1691"/>
      <c r="H46" s="2625"/>
      <c r="I46" s="367" t="s">
        <v>26</v>
      </c>
      <c r="J46" s="1597">
        <f>+J45</f>
        <v>500</v>
      </c>
      <c r="K46" s="839">
        <f>+K45</f>
        <v>500</v>
      </c>
      <c r="L46" s="346">
        <f>+L45</f>
        <v>500</v>
      </c>
      <c r="M46" s="381">
        <f>+M45</f>
        <v>0</v>
      </c>
      <c r="N46" s="2641"/>
      <c r="O46" s="1821"/>
      <c r="P46" s="1805"/>
      <c r="Q46" s="1784"/>
      <c r="R46" s="1374"/>
    </row>
    <row r="47" spans="1:23" s="2" customFormat="1" ht="29.25" customHeight="1" x14ac:dyDescent="0.25">
      <c r="A47" s="2449" t="s">
        <v>15</v>
      </c>
      <c r="B47" s="2451" t="s">
        <v>15</v>
      </c>
      <c r="C47" s="2628" t="s">
        <v>42</v>
      </c>
      <c r="D47" s="1744"/>
      <c r="E47" s="2432" t="s">
        <v>219</v>
      </c>
      <c r="F47" s="196"/>
      <c r="G47" s="1680" t="s">
        <v>19</v>
      </c>
      <c r="H47" s="2623" t="s">
        <v>347</v>
      </c>
      <c r="I47" s="1241" t="s">
        <v>20</v>
      </c>
      <c r="J47" s="1631">
        <v>210.6</v>
      </c>
      <c r="K47" s="1869">
        <v>219</v>
      </c>
      <c r="L47" s="1838">
        <v>219</v>
      </c>
      <c r="M47" s="1259"/>
      <c r="N47" s="1798" t="s">
        <v>217</v>
      </c>
      <c r="O47" s="1822">
        <v>200</v>
      </c>
      <c r="P47" s="1806">
        <v>200</v>
      </c>
      <c r="Q47" s="1785">
        <v>200</v>
      </c>
      <c r="R47" s="1795">
        <v>200</v>
      </c>
      <c r="S47" s="3"/>
    </row>
    <row r="48" spans="1:23" s="2" customFormat="1" ht="24" customHeight="1" x14ac:dyDescent="0.25">
      <c r="A48" s="2406"/>
      <c r="B48" s="2407"/>
      <c r="C48" s="2437"/>
      <c r="D48" s="1740"/>
      <c r="E48" s="2288"/>
      <c r="F48" s="37"/>
      <c r="G48" s="69"/>
      <c r="H48" s="2624"/>
      <c r="I48" s="1242"/>
      <c r="J48" s="1873"/>
      <c r="K48" s="1852"/>
      <c r="L48" s="244"/>
      <c r="M48" s="1244"/>
      <c r="N48" s="2636" t="s">
        <v>218</v>
      </c>
      <c r="O48" s="1823">
        <v>50</v>
      </c>
      <c r="P48" s="1807">
        <v>50</v>
      </c>
      <c r="Q48" s="1786">
        <v>50</v>
      </c>
      <c r="R48" s="1796">
        <v>50</v>
      </c>
    </row>
    <row r="49" spans="1:20" s="3" customFormat="1" ht="16.5" customHeight="1" thickBot="1" x14ac:dyDescent="0.3">
      <c r="A49" s="2450"/>
      <c r="B49" s="2452"/>
      <c r="C49" s="2629"/>
      <c r="D49" s="1742"/>
      <c r="E49" s="2433"/>
      <c r="F49" s="35"/>
      <c r="G49" s="1691"/>
      <c r="H49" s="2625"/>
      <c r="I49" s="367" t="s">
        <v>26</v>
      </c>
      <c r="J49" s="1597">
        <f>+J47</f>
        <v>210.6</v>
      </c>
      <c r="K49" s="839">
        <f>+K47</f>
        <v>219</v>
      </c>
      <c r="L49" s="346">
        <f>+L47</f>
        <v>219</v>
      </c>
      <c r="M49" s="381">
        <f>+M47</f>
        <v>0</v>
      </c>
      <c r="N49" s="2637"/>
      <c r="O49" s="1824"/>
      <c r="P49" s="1808"/>
      <c r="Q49" s="1787"/>
      <c r="R49" s="1797"/>
    </row>
    <row r="50" spans="1:20" s="2" customFormat="1" ht="16.5" customHeight="1" thickBot="1" x14ac:dyDescent="0.3">
      <c r="A50" s="577" t="s">
        <v>15</v>
      </c>
      <c r="B50" s="5" t="s">
        <v>15</v>
      </c>
      <c r="C50" s="2458" t="s">
        <v>43</v>
      </c>
      <c r="D50" s="2458"/>
      <c r="E50" s="2459"/>
      <c r="F50" s="2459"/>
      <c r="G50" s="2459"/>
      <c r="H50" s="2460"/>
      <c r="I50" s="2460"/>
      <c r="J50" s="1885">
        <f>J46+J44+J42+J40+J49</f>
        <v>34773.5</v>
      </c>
      <c r="K50" s="1870">
        <f t="shared" ref="K50:L50" si="2">K46+K44+K42+K40+K49</f>
        <v>36105.699999999997</v>
      </c>
      <c r="L50" s="1839">
        <f t="shared" si="2"/>
        <v>36051</v>
      </c>
      <c r="M50" s="1245">
        <f t="shared" ref="M50" si="3">M46+M44+M42+M40+M49</f>
        <v>0</v>
      </c>
      <c r="N50" s="2333"/>
      <c r="O50" s="2334"/>
      <c r="P50" s="2334"/>
      <c r="Q50" s="2334"/>
      <c r="R50" s="2335"/>
    </row>
    <row r="51" spans="1:20" s="2" customFormat="1" ht="16.5" customHeight="1" thickBot="1" x14ac:dyDescent="0.3">
      <c r="A51" s="578" t="s">
        <v>15</v>
      </c>
      <c r="B51" s="5" t="s">
        <v>35</v>
      </c>
      <c r="C51" s="2366" t="s">
        <v>44</v>
      </c>
      <c r="D51" s="2366"/>
      <c r="E51" s="2366"/>
      <c r="F51" s="2366"/>
      <c r="G51" s="2366"/>
      <c r="H51" s="2442"/>
      <c r="I51" s="2442"/>
      <c r="J51" s="2442"/>
      <c r="K51" s="2442"/>
      <c r="L51" s="2442"/>
      <c r="M51" s="2442"/>
      <c r="N51" s="2366"/>
      <c r="O51" s="2366"/>
      <c r="P51" s="2366"/>
      <c r="Q51" s="2366"/>
      <c r="R51" s="2367"/>
    </row>
    <row r="52" spans="1:20" s="3" customFormat="1" ht="15" customHeight="1" x14ac:dyDescent="0.25">
      <c r="A52" s="1672" t="s">
        <v>15</v>
      </c>
      <c r="B52" s="1674" t="s">
        <v>35</v>
      </c>
      <c r="C52" s="40" t="s">
        <v>15</v>
      </c>
      <c r="D52" s="1748"/>
      <c r="E52" s="2289" t="s">
        <v>45</v>
      </c>
      <c r="F52" s="2443" t="s">
        <v>120</v>
      </c>
      <c r="G52" s="403">
        <v>3</v>
      </c>
      <c r="H52" s="2623" t="s">
        <v>347</v>
      </c>
      <c r="I52" s="1365" t="s">
        <v>22</v>
      </c>
      <c r="J52" s="1609">
        <v>5395.8</v>
      </c>
      <c r="K52" s="1886">
        <v>4822.2</v>
      </c>
      <c r="L52" s="298">
        <v>4746.3</v>
      </c>
      <c r="M52" s="1915"/>
      <c r="N52" s="1332"/>
      <c r="O52" s="374"/>
      <c r="P52" s="1139"/>
      <c r="Q52" s="386"/>
      <c r="R52" s="386"/>
    </row>
    <row r="53" spans="1:20" s="3" customFormat="1" ht="15" customHeight="1" x14ac:dyDescent="0.25">
      <c r="A53" s="1673"/>
      <c r="B53" s="1675"/>
      <c r="C53" s="178"/>
      <c r="D53" s="1749"/>
      <c r="E53" s="2290"/>
      <c r="F53" s="2444"/>
      <c r="G53" s="289"/>
      <c r="H53" s="2624"/>
      <c r="I53" s="204" t="s">
        <v>46</v>
      </c>
      <c r="J53" s="1610">
        <v>646.9</v>
      </c>
      <c r="K53" s="1887">
        <v>659.9</v>
      </c>
      <c r="L53" s="323">
        <v>669.3</v>
      </c>
      <c r="M53" s="1916"/>
      <c r="N53" s="1333"/>
      <c r="O53" s="366"/>
      <c r="P53" s="1140"/>
      <c r="Q53" s="469"/>
      <c r="R53" s="469"/>
    </row>
    <row r="54" spans="1:20" s="3" customFormat="1" ht="15" customHeight="1" x14ac:dyDescent="0.25">
      <c r="A54" s="1673"/>
      <c r="B54" s="1675"/>
      <c r="C54" s="178"/>
      <c r="D54" s="1749"/>
      <c r="E54" s="1660"/>
      <c r="F54" s="2444"/>
      <c r="G54" s="289"/>
      <c r="H54" s="2624"/>
      <c r="I54" s="204" t="s">
        <v>94</v>
      </c>
      <c r="J54" s="1611">
        <f>60.9</f>
        <v>60.9</v>
      </c>
      <c r="K54" s="1888"/>
      <c r="L54" s="242"/>
      <c r="M54" s="1917"/>
      <c r="N54" s="1333"/>
      <c r="O54" s="366"/>
      <c r="P54" s="1140"/>
      <c r="Q54" s="469"/>
      <c r="R54" s="469"/>
    </row>
    <row r="55" spans="1:20" s="3" customFormat="1" ht="15" customHeight="1" x14ac:dyDescent="0.25">
      <c r="A55" s="1673"/>
      <c r="B55" s="1675"/>
      <c r="C55" s="178"/>
      <c r="D55" s="1749"/>
      <c r="E55" s="1660"/>
      <c r="F55" s="2444"/>
      <c r="G55" s="289"/>
      <c r="H55" s="685"/>
      <c r="I55" s="176" t="s">
        <v>20</v>
      </c>
      <c r="J55" s="1610">
        <v>122.1</v>
      </c>
      <c r="K55" s="1887">
        <v>62</v>
      </c>
      <c r="L55" s="323">
        <v>62</v>
      </c>
      <c r="M55" s="1916"/>
      <c r="N55" s="1333"/>
      <c r="O55" s="366"/>
      <c r="P55" s="1140"/>
      <c r="Q55" s="469"/>
      <c r="R55" s="469"/>
    </row>
    <row r="56" spans="1:20" s="3" customFormat="1" ht="15" customHeight="1" x14ac:dyDescent="0.25">
      <c r="A56" s="1673"/>
      <c r="B56" s="1675"/>
      <c r="C56" s="178"/>
      <c r="D56" s="1749"/>
      <c r="E56" s="1660"/>
      <c r="F56" s="2444"/>
      <c r="G56" s="289"/>
      <c r="H56" s="1770"/>
      <c r="I56" s="1304" t="s">
        <v>169</v>
      </c>
      <c r="J56" s="1610">
        <v>40.6</v>
      </c>
      <c r="K56" s="1887">
        <f>SUMIF(I61:I105,"sb(esa)",K61:K105)</f>
        <v>0</v>
      </c>
      <c r="L56" s="323">
        <f>SUMIF(I61:I105,"sb(esa)",L61:L105)</f>
        <v>0</v>
      </c>
      <c r="M56" s="1916"/>
      <c r="N56" s="1333"/>
      <c r="O56" s="366"/>
      <c r="P56" s="1140"/>
      <c r="Q56" s="469"/>
      <c r="R56" s="469"/>
    </row>
    <row r="57" spans="1:20" s="3" customFormat="1" ht="15" customHeight="1" x14ac:dyDescent="0.25">
      <c r="A57" s="1673"/>
      <c r="B57" s="1675"/>
      <c r="C57" s="178"/>
      <c r="D57" s="1749"/>
      <c r="E57" s="1660"/>
      <c r="F57" s="2444"/>
      <c r="G57" s="289"/>
      <c r="H57" s="1770"/>
      <c r="I57" s="176" t="s">
        <v>168</v>
      </c>
      <c r="J57" s="1611">
        <f>108.5-31</f>
        <v>77.5</v>
      </c>
      <c r="K57" s="1888">
        <v>91.5</v>
      </c>
      <c r="L57" s="242">
        <v>91.5</v>
      </c>
      <c r="M57" s="1917"/>
      <c r="N57" s="1333"/>
      <c r="O57" s="366"/>
      <c r="P57" s="1140"/>
      <c r="Q57" s="469"/>
      <c r="R57" s="469"/>
    </row>
    <row r="58" spans="1:20" s="3" customFormat="1" ht="15" customHeight="1" x14ac:dyDescent="0.25">
      <c r="A58" s="1673"/>
      <c r="B58" s="1675"/>
      <c r="C58" s="178"/>
      <c r="D58" s="1749"/>
      <c r="E58" s="1660"/>
      <c r="F58" s="2444"/>
      <c r="G58" s="289"/>
      <c r="H58" s="1770"/>
      <c r="I58" s="176" t="s">
        <v>63</v>
      </c>
      <c r="J58" s="1610">
        <f>72.2+31</f>
        <v>103.2</v>
      </c>
      <c r="K58" s="1887">
        <f>SUMIF(I61:I105,"es",K61:K105)</f>
        <v>0</v>
      </c>
      <c r="L58" s="323">
        <f>SUMIF(I61:I105,"es",L61:L105)</f>
        <v>0</v>
      </c>
      <c r="M58" s="1916"/>
      <c r="N58" s="1333"/>
      <c r="O58" s="366"/>
      <c r="P58" s="1140"/>
      <c r="Q58" s="469"/>
      <c r="R58" s="469"/>
    </row>
    <row r="59" spans="1:20" s="3" customFormat="1" ht="15" customHeight="1" x14ac:dyDescent="0.25">
      <c r="A59" s="1673"/>
      <c r="B59" s="1675"/>
      <c r="C59" s="178"/>
      <c r="D59" s="1749"/>
      <c r="E59" s="1660"/>
      <c r="F59" s="2444"/>
      <c r="G59" s="289"/>
      <c r="H59" s="1770"/>
      <c r="I59" s="176" t="s">
        <v>47</v>
      </c>
      <c r="J59" s="1611">
        <v>5</v>
      </c>
      <c r="K59" s="1888">
        <v>6</v>
      </c>
      <c r="L59" s="242">
        <v>7</v>
      </c>
      <c r="M59" s="1917"/>
      <c r="N59" s="1333"/>
      <c r="O59" s="366"/>
      <c r="P59" s="1140"/>
      <c r="Q59" s="469"/>
      <c r="R59" s="469"/>
    </row>
    <row r="60" spans="1:20" s="3" customFormat="1" ht="15" customHeight="1" thickBot="1" x14ac:dyDescent="0.3">
      <c r="A60" s="1673"/>
      <c r="B60" s="1675"/>
      <c r="C60" s="178"/>
      <c r="D60" s="1749"/>
      <c r="E60" s="1660"/>
      <c r="F60" s="2444"/>
      <c r="G60" s="289"/>
      <c r="H60" s="1770"/>
      <c r="I60" s="175" t="s">
        <v>37</v>
      </c>
      <c r="J60" s="1612">
        <v>152</v>
      </c>
      <c r="K60" s="1889">
        <v>108.6</v>
      </c>
      <c r="L60" s="243">
        <v>110.6</v>
      </c>
      <c r="M60" s="1918"/>
      <c r="N60" s="1333"/>
      <c r="O60" s="366"/>
      <c r="P60" s="1140"/>
      <c r="Q60" s="469"/>
      <c r="R60" s="469"/>
    </row>
    <row r="61" spans="1:20" s="3" customFormat="1" ht="18" customHeight="1" x14ac:dyDescent="0.25">
      <c r="A61" s="1673"/>
      <c r="B61" s="1675"/>
      <c r="C61" s="1682"/>
      <c r="D61" s="1745" t="s">
        <v>15</v>
      </c>
      <c r="E61" s="2445" t="s">
        <v>320</v>
      </c>
      <c r="F61" s="2444"/>
      <c r="G61" s="289"/>
      <c r="H61" s="1770"/>
      <c r="I61" s="537"/>
      <c r="J61" s="1607"/>
      <c r="K61" s="1890"/>
      <c r="L61" s="245"/>
      <c r="M61" s="1287"/>
      <c r="N61" s="1369" t="s">
        <v>93</v>
      </c>
      <c r="O61" s="1370">
        <v>82</v>
      </c>
      <c r="P61" s="1371">
        <v>82</v>
      </c>
      <c r="Q61" s="1372">
        <v>82</v>
      </c>
      <c r="R61" s="1372">
        <v>82</v>
      </c>
      <c r="S61" s="245"/>
      <c r="T61" s="245"/>
    </row>
    <row r="62" spans="1:20" s="3" customFormat="1" ht="16.5" customHeight="1" x14ac:dyDescent="0.25">
      <c r="A62" s="1673"/>
      <c r="B62" s="1675"/>
      <c r="C62" s="1682"/>
      <c r="D62" s="1740"/>
      <c r="E62" s="2331"/>
      <c r="F62" s="2444"/>
      <c r="G62" s="289"/>
      <c r="H62" s="1770"/>
      <c r="I62" s="537"/>
      <c r="J62" s="1607"/>
      <c r="K62" s="1890"/>
      <c r="L62" s="1911"/>
      <c r="M62" s="1287"/>
      <c r="N62" s="1678" t="s">
        <v>289</v>
      </c>
      <c r="O62" s="1697">
        <v>1</v>
      </c>
      <c r="P62" s="1708"/>
      <c r="Q62" s="700"/>
      <c r="R62" s="700"/>
    </row>
    <row r="63" spans="1:20" s="3" customFormat="1" ht="30" customHeight="1" x14ac:dyDescent="0.25">
      <c r="A63" s="1673"/>
      <c r="B63" s="1675"/>
      <c r="C63" s="1682"/>
      <c r="D63" s="1740"/>
      <c r="E63" s="2286" t="s">
        <v>175</v>
      </c>
      <c r="F63" s="2444"/>
      <c r="G63" s="289"/>
      <c r="H63" s="1770"/>
      <c r="I63" s="537"/>
      <c r="J63" s="1607"/>
      <c r="K63" s="1890"/>
      <c r="L63" s="1911"/>
      <c r="M63" s="1287"/>
      <c r="N63" s="2447" t="s">
        <v>181</v>
      </c>
      <c r="O63" s="548">
        <v>60</v>
      </c>
      <c r="P63" s="1142"/>
      <c r="Q63" s="396"/>
      <c r="R63" s="396"/>
    </row>
    <row r="64" spans="1:20" s="3" customFormat="1" ht="36.75" customHeight="1" thickBot="1" x14ac:dyDescent="0.3">
      <c r="A64" s="1673"/>
      <c r="B64" s="1675"/>
      <c r="C64" s="1682"/>
      <c r="D64" s="1741"/>
      <c r="E64" s="2446"/>
      <c r="F64" s="2444"/>
      <c r="G64" s="289"/>
      <c r="H64" s="1770"/>
      <c r="I64" s="537"/>
      <c r="J64" s="1607"/>
      <c r="K64" s="1890"/>
      <c r="L64" s="1911"/>
      <c r="M64" s="1287"/>
      <c r="N64" s="2448"/>
      <c r="O64" s="1274"/>
      <c r="P64" s="1373"/>
      <c r="Q64" s="1374"/>
      <c r="R64" s="1374"/>
    </row>
    <row r="65" spans="1:19" s="3" customFormat="1" ht="29.25" customHeight="1" x14ac:dyDescent="0.25">
      <c r="A65" s="1673"/>
      <c r="B65" s="1675"/>
      <c r="C65" s="1682"/>
      <c r="D65" s="1740" t="s">
        <v>35</v>
      </c>
      <c r="E65" s="188" t="s">
        <v>319</v>
      </c>
      <c r="F65" s="2444"/>
      <c r="G65" s="289"/>
      <c r="H65" s="1770"/>
      <c r="I65" s="537"/>
      <c r="J65" s="1607"/>
      <c r="K65" s="1890"/>
      <c r="L65" s="245"/>
      <c r="M65" s="1287"/>
      <c r="N65" s="1334" t="s">
        <v>317</v>
      </c>
      <c r="O65" s="1325">
        <v>160</v>
      </c>
      <c r="P65" s="1367">
        <v>160</v>
      </c>
      <c r="Q65" s="1368">
        <v>160</v>
      </c>
      <c r="R65" s="1368">
        <v>160</v>
      </c>
    </row>
    <row r="66" spans="1:19" s="3" customFormat="1" ht="55.5" customHeight="1" x14ac:dyDescent="0.25">
      <c r="A66" s="1673"/>
      <c r="B66" s="1675"/>
      <c r="C66" s="1682"/>
      <c r="D66" s="1740"/>
      <c r="E66" s="1664"/>
      <c r="F66" s="1360"/>
      <c r="G66" s="289"/>
      <c r="H66" s="1770"/>
      <c r="I66" s="537"/>
      <c r="J66" s="1607"/>
      <c r="K66" s="1890"/>
      <c r="L66" s="245"/>
      <c r="M66" s="1287"/>
      <c r="N66" s="1335" t="s">
        <v>325</v>
      </c>
      <c r="O66" s="1326" t="s">
        <v>290</v>
      </c>
      <c r="P66" s="1123" t="s">
        <v>290</v>
      </c>
      <c r="Q66" s="762" t="s">
        <v>290</v>
      </c>
      <c r="R66" s="762" t="s">
        <v>290</v>
      </c>
    </row>
    <row r="67" spans="1:19" s="3" customFormat="1" ht="30" customHeight="1" x14ac:dyDescent="0.25">
      <c r="A67" s="1673"/>
      <c r="B67" s="1675"/>
      <c r="C67" s="1682"/>
      <c r="D67" s="1740"/>
      <c r="E67" s="1664"/>
      <c r="F67" s="1360"/>
      <c r="G67" s="289"/>
      <c r="H67" s="1770"/>
      <c r="I67" s="537"/>
      <c r="J67" s="1607"/>
      <c r="K67" s="1890"/>
      <c r="L67" s="245"/>
      <c r="M67" s="1287"/>
      <c r="N67" s="1336" t="s">
        <v>194</v>
      </c>
      <c r="O67" s="1327">
        <v>280</v>
      </c>
      <c r="P67" s="1063">
        <v>300</v>
      </c>
      <c r="Q67" s="1148">
        <v>320</v>
      </c>
      <c r="R67" s="1148">
        <v>320</v>
      </c>
    </row>
    <row r="68" spans="1:19" s="3" customFormat="1" ht="37.5" customHeight="1" x14ac:dyDescent="0.25">
      <c r="A68" s="1673"/>
      <c r="B68" s="1675"/>
      <c r="C68" s="1682"/>
      <c r="D68" s="1740"/>
      <c r="E68" s="1664"/>
      <c r="F68" s="1360"/>
      <c r="G68" s="289"/>
      <c r="H68" s="1770"/>
      <c r="I68" s="537"/>
      <c r="J68" s="1607"/>
      <c r="K68" s="1890"/>
      <c r="L68" s="245"/>
      <c r="M68" s="1287"/>
      <c r="N68" s="1684" t="s">
        <v>326</v>
      </c>
      <c r="O68" s="1353" t="s">
        <v>193</v>
      </c>
      <c r="P68" s="1354" t="s">
        <v>193</v>
      </c>
      <c r="Q68" s="1355" t="s">
        <v>193</v>
      </c>
      <c r="R68" s="1355" t="s">
        <v>193</v>
      </c>
    </row>
    <row r="69" spans="1:19" s="3" customFormat="1" ht="55.5" customHeight="1" x14ac:dyDescent="0.25">
      <c r="A69" s="1673"/>
      <c r="B69" s="1675"/>
      <c r="C69" s="1682"/>
      <c r="D69" s="1740"/>
      <c r="E69" s="1657" t="s">
        <v>167</v>
      </c>
      <c r="F69" s="1360"/>
      <c r="G69" s="289"/>
      <c r="H69" s="1770"/>
      <c r="I69" s="537"/>
      <c r="J69" s="1607"/>
      <c r="K69" s="1890"/>
      <c r="L69" s="1911"/>
      <c r="M69" s="1287"/>
      <c r="N69" s="1336" t="s">
        <v>327</v>
      </c>
      <c r="O69" s="1356">
        <v>0.5</v>
      </c>
      <c r="P69" s="1357">
        <v>0.5</v>
      </c>
      <c r="Q69" s="1358">
        <v>0.5</v>
      </c>
      <c r="R69" s="1358">
        <v>0.5</v>
      </c>
    </row>
    <row r="70" spans="1:19" s="3" customFormat="1" ht="43.5" customHeight="1" x14ac:dyDescent="0.25">
      <c r="A70" s="1673"/>
      <c r="B70" s="1675"/>
      <c r="C70" s="1682"/>
      <c r="D70" s="1740"/>
      <c r="E70" s="1664"/>
      <c r="F70" s="1360"/>
      <c r="G70" s="289"/>
      <c r="H70" s="1770"/>
      <c r="I70" s="1492"/>
      <c r="J70" s="1580"/>
      <c r="K70" s="1891"/>
      <c r="L70" s="1789"/>
      <c r="M70" s="1321"/>
      <c r="N70" s="1375" t="s">
        <v>146</v>
      </c>
      <c r="O70" s="1124" t="s">
        <v>101</v>
      </c>
      <c r="P70" s="1376">
        <v>20</v>
      </c>
      <c r="Q70" s="1377">
        <v>20</v>
      </c>
      <c r="R70" s="1377">
        <v>20</v>
      </c>
    </row>
    <row r="71" spans="1:19" s="3" customFormat="1" ht="42" customHeight="1" x14ac:dyDescent="0.25">
      <c r="A71" s="1673"/>
      <c r="B71" s="1675"/>
      <c r="C71" s="1682"/>
      <c r="D71" s="1740"/>
      <c r="E71" s="1658" t="s">
        <v>318</v>
      </c>
      <c r="F71" s="161"/>
      <c r="G71" s="289"/>
      <c r="H71" s="1770"/>
      <c r="I71" s="537"/>
      <c r="J71" s="1580"/>
      <c r="K71" s="1891"/>
      <c r="L71" s="1789"/>
      <c r="M71" s="1321"/>
      <c r="N71" s="1375" t="s">
        <v>146</v>
      </c>
      <c r="O71" s="1124" t="s">
        <v>19</v>
      </c>
      <c r="P71" s="1228"/>
      <c r="Q71" s="314"/>
      <c r="R71" s="314"/>
    </row>
    <row r="72" spans="1:19" s="3" customFormat="1" ht="21" customHeight="1" x14ac:dyDescent="0.25">
      <c r="A72" s="1673"/>
      <c r="B72" s="1675"/>
      <c r="C72" s="1682"/>
      <c r="D72" s="1740"/>
      <c r="E72" s="2286" t="s">
        <v>198</v>
      </c>
      <c r="F72" s="1360"/>
      <c r="G72" s="289"/>
      <c r="H72" s="1770"/>
      <c r="I72" s="1492"/>
      <c r="J72" s="1580"/>
      <c r="K72" s="1891"/>
      <c r="L72" s="1789"/>
      <c r="M72" s="1321"/>
      <c r="N72" s="2356" t="s">
        <v>199</v>
      </c>
      <c r="O72" s="1061" t="s">
        <v>19</v>
      </c>
      <c r="P72" s="1064"/>
      <c r="Q72" s="387"/>
      <c r="R72" s="387"/>
    </row>
    <row r="73" spans="1:19" s="3" customFormat="1" ht="21" customHeight="1" x14ac:dyDescent="0.25">
      <c r="A73" s="1673"/>
      <c r="B73" s="1675"/>
      <c r="C73" s="1682"/>
      <c r="D73" s="1740"/>
      <c r="E73" s="2287"/>
      <c r="F73" s="161"/>
      <c r="G73" s="289"/>
      <c r="H73" s="1770"/>
      <c r="I73" s="1492"/>
      <c r="J73" s="1580"/>
      <c r="K73" s="1891"/>
      <c r="L73" s="1789"/>
      <c r="M73" s="1321"/>
      <c r="N73" s="2441"/>
      <c r="O73" s="1124"/>
      <c r="P73" s="1228"/>
      <c r="Q73" s="314"/>
      <c r="R73" s="314"/>
    </row>
    <row r="74" spans="1:19" s="3" customFormat="1" ht="41.25" customHeight="1" x14ac:dyDescent="0.25">
      <c r="A74" s="1673"/>
      <c r="B74" s="1675"/>
      <c r="C74" s="1682"/>
      <c r="D74" s="1745" t="s">
        <v>39</v>
      </c>
      <c r="E74" s="188" t="s">
        <v>153</v>
      </c>
      <c r="F74" s="1360"/>
      <c r="G74" s="289"/>
      <c r="H74" s="1770"/>
      <c r="I74" s="537"/>
      <c r="J74" s="1607"/>
      <c r="K74" s="1890"/>
      <c r="L74" s="245"/>
      <c r="M74" s="1287"/>
      <c r="N74" s="1491" t="s">
        <v>203</v>
      </c>
      <c r="O74" s="1128" t="s">
        <v>200</v>
      </c>
      <c r="P74" s="1143">
        <v>70</v>
      </c>
      <c r="Q74" s="1149">
        <v>70</v>
      </c>
      <c r="R74" s="1149">
        <v>70</v>
      </c>
    </row>
    <row r="75" spans="1:19" s="3" customFormat="1" ht="28.5" customHeight="1" x14ac:dyDescent="0.25">
      <c r="A75" s="1673"/>
      <c r="B75" s="1675"/>
      <c r="C75" s="1682"/>
      <c r="D75" s="1740"/>
      <c r="E75" s="188"/>
      <c r="F75" s="1360"/>
      <c r="G75" s="289"/>
      <c r="H75" s="1770"/>
      <c r="I75" s="537"/>
      <c r="J75" s="1607"/>
      <c r="K75" s="1890"/>
      <c r="L75" s="1911"/>
      <c r="M75" s="1287"/>
      <c r="N75" s="1491" t="s">
        <v>204</v>
      </c>
      <c r="O75" s="1128" t="s">
        <v>201</v>
      </c>
      <c r="P75" s="1143">
        <v>42</v>
      </c>
      <c r="Q75" s="1149">
        <v>42</v>
      </c>
      <c r="R75" s="1149">
        <v>42</v>
      </c>
    </row>
    <row r="76" spans="1:19" s="3" customFormat="1" ht="41.25" customHeight="1" x14ac:dyDescent="0.25">
      <c r="A76" s="1673"/>
      <c r="B76" s="1675"/>
      <c r="C76" s="1682"/>
      <c r="D76" s="1740"/>
      <c r="E76" s="188"/>
      <c r="F76" s="1360"/>
      <c r="G76" s="289"/>
      <c r="H76" s="1770"/>
      <c r="I76" s="537"/>
      <c r="J76" s="1607"/>
      <c r="K76" s="1890"/>
      <c r="L76" s="1911"/>
      <c r="M76" s="1287"/>
      <c r="N76" s="1338" t="s">
        <v>205</v>
      </c>
      <c r="O76" s="1131" t="s">
        <v>202</v>
      </c>
      <c r="P76" s="1144">
        <v>63</v>
      </c>
      <c r="Q76" s="1150">
        <v>63</v>
      </c>
      <c r="R76" s="1150">
        <v>63</v>
      </c>
    </row>
    <row r="77" spans="1:19" s="3" customFormat="1" ht="16.5" customHeight="1" thickBot="1" x14ac:dyDescent="0.3">
      <c r="A77" s="1673"/>
      <c r="B77" s="1675"/>
      <c r="C77" s="1682"/>
      <c r="D77" s="1741"/>
      <c r="E77" s="1308"/>
      <c r="F77" s="1360"/>
      <c r="G77" s="289"/>
      <c r="H77" s="1770"/>
      <c r="I77" s="537"/>
      <c r="J77" s="1909"/>
      <c r="K77" s="1890"/>
      <c r="L77" s="1911"/>
      <c r="M77" s="1287"/>
      <c r="N77" s="1378" t="s">
        <v>292</v>
      </c>
      <c r="O77" s="1379"/>
      <c r="P77" s="1380" t="s">
        <v>291</v>
      </c>
      <c r="Q77" s="1381"/>
      <c r="R77" s="1381"/>
    </row>
    <row r="78" spans="1:19" s="3" customFormat="1" ht="17.25" customHeight="1" x14ac:dyDescent="0.25">
      <c r="A78" s="1673"/>
      <c r="B78" s="1675"/>
      <c r="C78" s="1682"/>
      <c r="D78" s="1740" t="s">
        <v>41</v>
      </c>
      <c r="E78" s="2288" t="s">
        <v>48</v>
      </c>
      <c r="F78" s="1360"/>
      <c r="G78" s="1683"/>
      <c r="H78" s="209"/>
      <c r="I78" s="537"/>
      <c r="J78" s="1607"/>
      <c r="K78" s="1890"/>
      <c r="L78" s="1911"/>
      <c r="M78" s="1287"/>
      <c r="N78" s="1313" t="s">
        <v>207</v>
      </c>
      <c r="O78" s="1132" t="s">
        <v>206</v>
      </c>
      <c r="P78" s="1145">
        <v>14000</v>
      </c>
      <c r="Q78" s="1151">
        <v>14000</v>
      </c>
      <c r="R78" s="1151">
        <v>14000</v>
      </c>
      <c r="S78" s="144"/>
    </row>
    <row r="79" spans="1:19" s="3" customFormat="1" ht="29.25" customHeight="1" x14ac:dyDescent="0.25">
      <c r="A79" s="1673"/>
      <c r="B79" s="1675"/>
      <c r="C79" s="1682"/>
      <c r="D79" s="1740"/>
      <c r="E79" s="2288"/>
      <c r="G79" s="1364"/>
      <c r="H79" s="1361"/>
      <c r="I79" s="1361"/>
      <c r="J79" s="1361"/>
      <c r="K79" s="1859"/>
      <c r="L79" s="1833"/>
      <c r="M79" s="1092"/>
      <c r="N79" s="1341" t="s">
        <v>306</v>
      </c>
      <c r="O79" s="1097">
        <v>5</v>
      </c>
      <c r="P79" s="102"/>
      <c r="Q79" s="1490"/>
      <c r="R79" s="1490"/>
      <c r="S79" s="1303"/>
    </row>
    <row r="80" spans="1:19" s="3" customFormat="1" ht="30.75" customHeight="1" x14ac:dyDescent="0.25">
      <c r="A80" s="1673"/>
      <c r="B80" s="1675"/>
      <c r="C80" s="1682"/>
      <c r="D80" s="1740"/>
      <c r="E80" s="1361"/>
      <c r="G80" s="1364"/>
      <c r="H80" s="1361"/>
      <c r="I80" s="1361"/>
      <c r="J80" s="1361"/>
      <c r="K80" s="1892"/>
      <c r="L80" s="1912"/>
      <c r="M80" s="1363"/>
      <c r="N80" s="1341" t="s">
        <v>328</v>
      </c>
      <c r="O80" s="1097">
        <v>30</v>
      </c>
      <c r="P80" s="1083"/>
      <c r="Q80" s="1489"/>
      <c r="R80" s="1489"/>
    </row>
    <row r="81" spans="1:22" s="3" customFormat="1" ht="29.25" customHeight="1" x14ac:dyDescent="0.25">
      <c r="A81" s="1673"/>
      <c r="B81" s="1675"/>
      <c r="C81" s="1682"/>
      <c r="D81" s="1740"/>
      <c r="E81" s="1681"/>
      <c r="F81" s="1360"/>
      <c r="G81" s="1683"/>
      <c r="H81" s="209"/>
      <c r="I81" s="543"/>
      <c r="J81" s="1910"/>
      <c r="K81" s="1891"/>
      <c r="L81" s="1789"/>
      <c r="M81" s="1321"/>
      <c r="N81" s="1340" t="s">
        <v>208</v>
      </c>
      <c r="O81" s="1134">
        <v>12</v>
      </c>
      <c r="P81" s="1146">
        <v>12</v>
      </c>
      <c r="Q81" s="1079">
        <v>12</v>
      </c>
      <c r="R81" s="1079">
        <v>12</v>
      </c>
    </row>
    <row r="82" spans="1:22" s="3" customFormat="1" ht="42" customHeight="1" x14ac:dyDescent="0.25">
      <c r="A82" s="1673"/>
      <c r="B82" s="1675"/>
      <c r="C82" s="1682"/>
      <c r="D82" s="1740"/>
      <c r="E82" s="1681"/>
      <c r="F82" s="1360"/>
      <c r="G82" s="1683"/>
      <c r="H82" s="209"/>
      <c r="I82" s="543"/>
      <c r="J82" s="1910"/>
      <c r="K82" s="1891"/>
      <c r="L82" s="1789"/>
      <c r="M82" s="1321"/>
      <c r="N82" s="1340" t="s">
        <v>293</v>
      </c>
      <c r="O82" s="1134">
        <v>12</v>
      </c>
      <c r="P82" s="1146">
        <v>8</v>
      </c>
      <c r="Q82" s="1079">
        <v>8</v>
      </c>
      <c r="R82" s="1079">
        <v>8</v>
      </c>
    </row>
    <row r="83" spans="1:22" s="3" customFormat="1" ht="41.25" customHeight="1" x14ac:dyDescent="0.25">
      <c r="A83" s="1673"/>
      <c r="B83" s="1675"/>
      <c r="C83" s="1682"/>
      <c r="D83" s="1740"/>
      <c r="E83" s="1681"/>
      <c r="F83" s="1360"/>
      <c r="G83" s="1683"/>
      <c r="H83" s="209"/>
      <c r="I83" s="1492"/>
      <c r="J83" s="1580"/>
      <c r="K83" s="1891"/>
      <c r="L83" s="1789"/>
      <c r="M83" s="1321"/>
      <c r="N83" s="1340" t="s">
        <v>329</v>
      </c>
      <c r="O83" s="1134">
        <v>3</v>
      </c>
      <c r="P83" s="1146">
        <v>4</v>
      </c>
      <c r="Q83" s="1079">
        <v>4</v>
      </c>
      <c r="R83" s="1079">
        <v>4</v>
      </c>
    </row>
    <row r="84" spans="1:22" s="3" customFormat="1" ht="32.25" customHeight="1" x14ac:dyDescent="0.25">
      <c r="A84" s="1673"/>
      <c r="B84" s="1675"/>
      <c r="C84" s="1682"/>
      <c r="D84" s="1740"/>
      <c r="E84" s="1681"/>
      <c r="F84" s="1360"/>
      <c r="G84" s="1683"/>
      <c r="H84" s="209"/>
      <c r="I84" s="1492"/>
      <c r="J84" s="1580"/>
      <c r="K84" s="1891"/>
      <c r="L84" s="1789"/>
      <c r="M84" s="1321"/>
      <c r="N84" s="1698" t="s">
        <v>240</v>
      </c>
      <c r="O84" s="103">
        <v>130</v>
      </c>
      <c r="P84" s="1062"/>
      <c r="Q84" s="396"/>
      <c r="R84" s="396"/>
    </row>
    <row r="85" spans="1:22" s="3" customFormat="1" ht="16.5" customHeight="1" x14ac:dyDescent="0.25">
      <c r="A85" s="1673"/>
      <c r="B85" s="1675"/>
      <c r="C85" s="1682"/>
      <c r="D85" s="1740"/>
      <c r="E85" s="2286" t="s">
        <v>321</v>
      </c>
      <c r="F85" s="1360"/>
      <c r="G85" s="1683"/>
      <c r="H85" s="209"/>
      <c r="I85" s="537"/>
      <c r="J85" s="1607"/>
      <c r="K85" s="1890"/>
      <c r="L85" s="1911"/>
      <c r="M85" s="1287"/>
      <c r="N85" s="2435" t="s">
        <v>150</v>
      </c>
      <c r="O85" s="103">
        <v>104</v>
      </c>
      <c r="P85" s="130"/>
      <c r="Q85" s="365"/>
      <c r="R85" s="365"/>
    </row>
    <row r="86" spans="1:22" s="3" customFormat="1" ht="27.75" customHeight="1" x14ac:dyDescent="0.25">
      <c r="A86" s="1673"/>
      <c r="B86" s="1675"/>
      <c r="C86" s="1682"/>
      <c r="D86" s="1740"/>
      <c r="E86" s="2286"/>
      <c r="F86" s="1360"/>
      <c r="G86" s="1683"/>
      <c r="H86" s="209"/>
      <c r="I86" s="537"/>
      <c r="J86" s="1607"/>
      <c r="K86" s="1890"/>
      <c r="L86" s="1911"/>
      <c r="M86" s="1287"/>
      <c r="N86" s="2282"/>
      <c r="O86" s="183"/>
      <c r="P86" s="101"/>
      <c r="Q86" s="691"/>
      <c r="R86" s="691"/>
    </row>
    <row r="87" spans="1:22" s="2" customFormat="1" ht="21.75" customHeight="1" x14ac:dyDescent="0.25">
      <c r="A87" s="2378"/>
      <c r="B87" s="2380"/>
      <c r="C87" s="2437"/>
      <c r="D87" s="1740"/>
      <c r="E87" s="2286" t="s">
        <v>341</v>
      </c>
      <c r="F87" s="2439"/>
      <c r="G87" s="2440"/>
      <c r="H87" s="209"/>
      <c r="I87" s="191"/>
      <c r="J87" s="1607"/>
      <c r="K87" s="1890"/>
      <c r="L87" s="245"/>
      <c r="M87" s="1287"/>
      <c r="N87" s="1665" t="s">
        <v>310</v>
      </c>
      <c r="O87" s="1291">
        <v>1</v>
      </c>
      <c r="P87" s="1212">
        <v>1</v>
      </c>
      <c r="Q87" s="1292">
        <v>1</v>
      </c>
      <c r="R87" s="1292">
        <v>1</v>
      </c>
      <c r="S87" s="1290"/>
      <c r="V87" s="3"/>
    </row>
    <row r="88" spans="1:22" s="2" customFormat="1" ht="35.25" customHeight="1" x14ac:dyDescent="0.25">
      <c r="A88" s="2378"/>
      <c r="B88" s="2380"/>
      <c r="C88" s="2437"/>
      <c r="D88" s="1740"/>
      <c r="E88" s="2438"/>
      <c r="F88" s="2439"/>
      <c r="G88" s="2440"/>
      <c r="H88" s="209"/>
      <c r="I88" s="191"/>
      <c r="J88" s="1607"/>
      <c r="K88" s="1890"/>
      <c r="L88" s="245"/>
      <c r="M88" s="1287"/>
      <c r="N88" s="1342" t="s">
        <v>311</v>
      </c>
      <c r="O88" s="1179">
        <v>6</v>
      </c>
      <c r="P88" s="1175">
        <v>6</v>
      </c>
      <c r="Q88" s="1187">
        <v>6</v>
      </c>
      <c r="R88" s="1187">
        <v>6</v>
      </c>
      <c r="V88" s="3"/>
    </row>
    <row r="89" spans="1:22" s="2" customFormat="1" ht="24.75" customHeight="1" x14ac:dyDescent="0.25">
      <c r="A89" s="2378"/>
      <c r="B89" s="2380"/>
      <c r="C89" s="2437"/>
      <c r="D89" s="1740"/>
      <c r="E89" s="2438"/>
      <c r="F89" s="2439"/>
      <c r="G89" s="2440"/>
      <c r="H89" s="209"/>
      <c r="I89" s="191"/>
      <c r="J89" s="1607"/>
      <c r="K89" s="1890"/>
      <c r="L89" s="245"/>
      <c r="M89" s="1287"/>
      <c r="N89" s="1343" t="s">
        <v>312</v>
      </c>
      <c r="O89" s="1095"/>
      <c r="P89" s="695">
        <v>1</v>
      </c>
      <c r="Q89" s="1066"/>
      <c r="R89" s="1066"/>
      <c r="V89" s="3"/>
    </row>
    <row r="90" spans="1:22" s="3" customFormat="1" ht="41.25" customHeight="1" x14ac:dyDescent="0.25">
      <c r="A90" s="1673"/>
      <c r="B90" s="1675"/>
      <c r="C90" s="1682"/>
      <c r="D90" s="1740"/>
      <c r="E90" s="1359" t="s">
        <v>322</v>
      </c>
      <c r="F90" s="1360"/>
      <c r="G90" s="1683"/>
      <c r="H90" s="209"/>
      <c r="I90" s="543"/>
      <c r="J90" s="1910"/>
      <c r="K90" s="1891"/>
      <c r="L90" s="1789"/>
      <c r="M90" s="1321"/>
      <c r="N90" s="1649"/>
      <c r="O90" s="183"/>
      <c r="P90" s="1083"/>
      <c r="Q90" s="1489"/>
      <c r="R90" s="1489"/>
    </row>
    <row r="91" spans="1:22" s="3" customFormat="1" ht="44.25" customHeight="1" thickBot="1" x14ac:dyDescent="0.3">
      <c r="A91" s="1673"/>
      <c r="B91" s="1675"/>
      <c r="C91" s="1682"/>
      <c r="D91" s="1740"/>
      <c r="E91" s="1359" t="s">
        <v>139</v>
      </c>
      <c r="F91" s="1360"/>
      <c r="G91" s="1683"/>
      <c r="H91" s="209"/>
      <c r="I91" s="543"/>
      <c r="J91" s="1910"/>
      <c r="K91" s="1891"/>
      <c r="L91" s="1789"/>
      <c r="M91" s="1321"/>
      <c r="N91" s="1695"/>
      <c r="O91" s="183"/>
      <c r="P91" s="1083"/>
      <c r="Q91" s="1489"/>
      <c r="R91" s="1489"/>
      <c r="S91" s="1303"/>
    </row>
    <row r="92" spans="1:22" s="3" customFormat="1" ht="16.5" customHeight="1" x14ac:dyDescent="0.25">
      <c r="A92" s="1673"/>
      <c r="B92" s="1675"/>
      <c r="C92" s="1682"/>
      <c r="D92" s="1745" t="s">
        <v>42</v>
      </c>
      <c r="E92" s="2432" t="s">
        <v>154</v>
      </c>
      <c r="F92" s="1360"/>
      <c r="G92" s="1683"/>
      <c r="H92" s="209"/>
      <c r="I92" s="537"/>
      <c r="J92" s="1607"/>
      <c r="K92" s="1890"/>
      <c r="L92" s="245"/>
      <c r="M92" s="1287"/>
      <c r="N92" s="1369" t="s">
        <v>93</v>
      </c>
      <c r="O92" s="1382">
        <v>187</v>
      </c>
      <c r="P92" s="1371">
        <v>187</v>
      </c>
      <c r="Q92" s="1372">
        <v>187</v>
      </c>
      <c r="R92" s="1372">
        <v>187</v>
      </c>
    </row>
    <row r="93" spans="1:22" s="3" customFormat="1" ht="30" customHeight="1" x14ac:dyDescent="0.25">
      <c r="A93" s="1673"/>
      <c r="B93" s="1675"/>
      <c r="C93" s="1682"/>
      <c r="D93" s="1740"/>
      <c r="E93" s="2288"/>
      <c r="F93" s="1360"/>
      <c r="G93" s="1683"/>
      <c r="H93" s="209"/>
      <c r="I93" s="537"/>
      <c r="J93" s="1607"/>
      <c r="K93" s="1890"/>
      <c r="L93" s="1911"/>
      <c r="M93" s="1287"/>
      <c r="N93" s="1309" t="s">
        <v>330</v>
      </c>
      <c r="O93" s="1134">
        <v>45</v>
      </c>
      <c r="P93" s="1141">
        <v>45</v>
      </c>
      <c r="Q93" s="94">
        <v>45</v>
      </c>
      <c r="R93" s="94">
        <v>45</v>
      </c>
    </row>
    <row r="94" spans="1:22" s="3" customFormat="1" ht="42" customHeight="1" thickBot="1" x14ac:dyDescent="0.3">
      <c r="A94" s="1673"/>
      <c r="B94" s="1675"/>
      <c r="C94" s="1682"/>
      <c r="D94" s="1741"/>
      <c r="E94" s="2433"/>
      <c r="F94" s="1360"/>
      <c r="G94" s="1683"/>
      <c r="H94" s="209"/>
      <c r="I94" s="537"/>
      <c r="J94" s="1607"/>
      <c r="K94" s="1890"/>
      <c r="L94" s="1911"/>
      <c r="M94" s="1287"/>
      <c r="N94" s="1378" t="s">
        <v>331</v>
      </c>
      <c r="O94" s="1383">
        <v>159</v>
      </c>
      <c r="P94" s="1384"/>
      <c r="Q94" s="1385"/>
      <c r="R94" s="1385"/>
    </row>
    <row r="95" spans="1:22" s="3" customFormat="1" ht="15" customHeight="1" x14ac:dyDescent="0.25">
      <c r="A95" s="1673"/>
      <c r="B95" s="1675"/>
      <c r="C95" s="1682"/>
      <c r="D95" s="1740" t="s">
        <v>60</v>
      </c>
      <c r="E95" s="2434" t="s">
        <v>155</v>
      </c>
      <c r="F95" s="1360"/>
      <c r="G95" s="1683"/>
      <c r="H95" s="209"/>
      <c r="I95" s="537"/>
      <c r="J95" s="1607"/>
      <c r="K95" s="1890"/>
      <c r="L95" s="1911"/>
      <c r="M95" s="1287"/>
      <c r="N95" s="1313" t="s">
        <v>210</v>
      </c>
      <c r="O95" s="183">
        <v>30</v>
      </c>
      <c r="P95" s="416"/>
      <c r="Q95" s="691"/>
      <c r="R95" s="691"/>
    </row>
    <row r="96" spans="1:22" s="3" customFormat="1" ht="15" customHeight="1" thickBot="1" x14ac:dyDescent="0.3">
      <c r="A96" s="1673"/>
      <c r="B96" s="1675"/>
      <c r="C96" s="1682"/>
      <c r="D96" s="1740"/>
      <c r="E96" s="2434"/>
      <c r="F96" s="402"/>
      <c r="G96" s="1683"/>
      <c r="H96" s="209"/>
      <c r="I96" s="537"/>
      <c r="J96" s="1607"/>
      <c r="K96" s="1890"/>
      <c r="L96" s="1911"/>
      <c r="M96" s="1287"/>
      <c r="N96" s="1678"/>
      <c r="O96" s="183"/>
      <c r="P96" s="101"/>
      <c r="Q96" s="691"/>
      <c r="R96" s="691"/>
    </row>
    <row r="97" spans="1:24" s="3" customFormat="1" ht="29.25" customHeight="1" x14ac:dyDescent="0.25">
      <c r="A97" s="1673"/>
      <c r="B97" s="1675"/>
      <c r="C97" s="1682"/>
      <c r="D97" s="1745" t="s">
        <v>61</v>
      </c>
      <c r="E97" s="2432" t="s">
        <v>156</v>
      </c>
      <c r="F97" s="402"/>
      <c r="G97" s="1683"/>
      <c r="H97" s="209"/>
      <c r="I97" s="537"/>
      <c r="J97" s="1607"/>
      <c r="K97" s="1890"/>
      <c r="L97" s="245"/>
      <c r="M97" s="1287"/>
      <c r="N97" s="1369" t="s">
        <v>150</v>
      </c>
      <c r="O97" s="1382">
        <v>40</v>
      </c>
      <c r="P97" s="1371">
        <v>40</v>
      </c>
      <c r="Q97" s="1372">
        <v>40</v>
      </c>
      <c r="R97" s="1372">
        <v>40</v>
      </c>
    </row>
    <row r="98" spans="1:24" s="3" customFormat="1" ht="15.75" customHeight="1" x14ac:dyDescent="0.25">
      <c r="A98" s="1673"/>
      <c r="B98" s="1675"/>
      <c r="C98" s="1682"/>
      <c r="D98" s="1740"/>
      <c r="E98" s="2288"/>
      <c r="F98" s="402"/>
      <c r="G98" s="1683"/>
      <c r="H98" s="209"/>
      <c r="I98" s="537"/>
      <c r="J98" s="1607"/>
      <c r="K98" s="1890"/>
      <c r="L98" s="1911"/>
      <c r="M98" s="1287"/>
      <c r="N98" s="1339" t="s">
        <v>332</v>
      </c>
      <c r="O98" s="1134">
        <v>3</v>
      </c>
      <c r="P98" s="1141"/>
      <c r="Q98" s="94"/>
      <c r="R98" s="94"/>
    </row>
    <row r="99" spans="1:24" s="3" customFormat="1" ht="18" customHeight="1" x14ac:dyDescent="0.25">
      <c r="A99" s="1673"/>
      <c r="B99" s="1675"/>
      <c r="C99" s="1682"/>
      <c r="D99" s="1740"/>
      <c r="E99" s="2288"/>
      <c r="F99" s="402"/>
      <c r="G99" s="1683"/>
      <c r="H99" s="209"/>
      <c r="I99" s="537"/>
      <c r="J99" s="1607"/>
      <c r="K99" s="1890"/>
      <c r="L99" s="245"/>
      <c r="M99" s="1287"/>
      <c r="N99" s="2435" t="s">
        <v>239</v>
      </c>
      <c r="O99" s="103">
        <v>20</v>
      </c>
      <c r="P99" s="1147">
        <v>20</v>
      </c>
      <c r="Q99" s="1152">
        <v>20</v>
      </c>
      <c r="R99" s="1152">
        <v>20</v>
      </c>
    </row>
    <row r="100" spans="1:24" s="3" customFormat="1" ht="12" customHeight="1" thickBot="1" x14ac:dyDescent="0.3">
      <c r="A100" s="1673"/>
      <c r="B100" s="1675"/>
      <c r="C100" s="1682"/>
      <c r="D100" s="1741"/>
      <c r="E100" s="2433"/>
      <c r="F100" s="402"/>
      <c r="G100" s="1683"/>
      <c r="H100" s="209"/>
      <c r="I100" s="537"/>
      <c r="J100" s="1607"/>
      <c r="K100" s="1890"/>
      <c r="L100" s="1911"/>
      <c r="M100" s="1287"/>
      <c r="N100" s="2436"/>
      <c r="O100" s="1386"/>
      <c r="P100" s="1387"/>
      <c r="Q100" s="1388"/>
      <c r="R100" s="1388"/>
    </row>
    <row r="101" spans="1:24" s="3" customFormat="1" ht="17.25" customHeight="1" x14ac:dyDescent="0.25">
      <c r="A101" s="1673"/>
      <c r="B101" s="1675"/>
      <c r="C101" s="1682"/>
      <c r="D101" s="1740" t="s">
        <v>95</v>
      </c>
      <c r="E101" s="2288" t="s">
        <v>49</v>
      </c>
      <c r="F101" s="124"/>
      <c r="G101" s="1683"/>
      <c r="H101" s="209"/>
      <c r="I101" s="537"/>
      <c r="J101" s="1607"/>
      <c r="K101" s="1890"/>
      <c r="L101" s="245"/>
      <c r="M101" s="1287"/>
      <c r="N101" s="1311" t="s">
        <v>210</v>
      </c>
      <c r="O101" s="431">
        <v>48</v>
      </c>
      <c r="P101" s="1709">
        <v>56</v>
      </c>
      <c r="Q101" s="701">
        <v>56</v>
      </c>
      <c r="R101" s="701">
        <v>56</v>
      </c>
    </row>
    <row r="102" spans="1:24" s="3" customFormat="1" ht="39" customHeight="1" x14ac:dyDescent="0.25">
      <c r="A102" s="579"/>
      <c r="B102" s="1675"/>
      <c r="C102" s="1682"/>
      <c r="D102" s="1740"/>
      <c r="E102" s="2288"/>
      <c r="F102" s="124"/>
      <c r="G102" s="1683"/>
      <c r="H102" s="209"/>
      <c r="I102" s="191"/>
      <c r="J102" s="1607"/>
      <c r="K102" s="1890"/>
      <c r="L102" s="1911"/>
      <c r="M102" s="1287"/>
      <c r="N102" s="1344" t="s">
        <v>333</v>
      </c>
      <c r="O102" s="433">
        <v>2</v>
      </c>
      <c r="P102" s="1709"/>
      <c r="Q102" s="701"/>
      <c r="R102" s="701"/>
    </row>
    <row r="103" spans="1:24" s="3" customFormat="1" ht="27.75" customHeight="1" x14ac:dyDescent="0.25">
      <c r="A103" s="579"/>
      <c r="B103" s="1675"/>
      <c r="C103" s="1682"/>
      <c r="D103" s="1740"/>
      <c r="E103" s="1659"/>
      <c r="F103" s="124"/>
      <c r="G103" s="1683"/>
      <c r="H103" s="209"/>
      <c r="I103" s="191"/>
      <c r="J103" s="1607"/>
      <c r="K103" s="1890"/>
      <c r="L103" s="1911"/>
      <c r="M103" s="1287"/>
      <c r="N103" s="1344" t="s">
        <v>294</v>
      </c>
      <c r="O103" s="433">
        <v>2</v>
      </c>
      <c r="P103" s="1709"/>
      <c r="Q103" s="701"/>
      <c r="R103" s="701"/>
    </row>
    <row r="104" spans="1:24" s="3" customFormat="1" ht="27.75" customHeight="1" x14ac:dyDescent="0.25">
      <c r="A104" s="579"/>
      <c r="B104" s="1675"/>
      <c r="C104" s="1687"/>
      <c r="D104" s="1741"/>
      <c r="E104" s="1668"/>
      <c r="F104" s="1782"/>
      <c r="G104" s="1683"/>
      <c r="H104" s="209"/>
      <c r="I104" s="191"/>
      <c r="J104" s="1607"/>
      <c r="K104" s="1890"/>
      <c r="L104" s="1911"/>
      <c r="M104" s="1287"/>
      <c r="N104" s="1344" t="s">
        <v>295</v>
      </c>
      <c r="O104" s="433">
        <v>74</v>
      </c>
      <c r="P104" s="1709"/>
      <c r="Q104" s="701"/>
      <c r="R104" s="701"/>
    </row>
    <row r="105" spans="1:24" s="43" customFormat="1" ht="44.25" customHeight="1" x14ac:dyDescent="0.25">
      <c r="A105" s="579"/>
      <c r="B105" s="1675"/>
      <c r="C105" s="42"/>
      <c r="D105" s="23" t="s">
        <v>96</v>
      </c>
      <c r="E105" s="1981" t="s">
        <v>142</v>
      </c>
      <c r="F105" s="124"/>
      <c r="G105" s="1683"/>
      <c r="H105" s="209"/>
      <c r="I105" s="191"/>
      <c r="J105" s="1605"/>
      <c r="K105" s="1893"/>
      <c r="L105" s="217"/>
      <c r="M105" s="1919"/>
      <c r="N105" s="1313" t="s">
        <v>211</v>
      </c>
      <c r="O105" s="183">
        <v>5</v>
      </c>
      <c r="P105" s="1708">
        <v>5</v>
      </c>
      <c r="Q105" s="700">
        <v>5</v>
      </c>
      <c r="R105" s="700">
        <v>5</v>
      </c>
    </row>
    <row r="106" spans="1:24" s="43" customFormat="1" ht="17.25" customHeight="1" thickBot="1" x14ac:dyDescent="0.3">
      <c r="A106" s="580"/>
      <c r="B106" s="1686"/>
      <c r="C106" s="297"/>
      <c r="D106" s="61"/>
      <c r="E106" s="2352" t="s">
        <v>34</v>
      </c>
      <c r="F106" s="2353"/>
      <c r="G106" s="2353"/>
      <c r="H106" s="2353"/>
      <c r="I106" s="2633"/>
      <c r="J106" s="1615">
        <f>SUM(J52:J105)-J90-J91</f>
        <v>6604</v>
      </c>
      <c r="K106" s="1894">
        <f t="shared" ref="K106:L106" si="4">SUM(K52:K105)-K90-K91</f>
        <v>5750.2</v>
      </c>
      <c r="L106" s="1550">
        <f t="shared" si="4"/>
        <v>5686.7000000000007</v>
      </c>
      <c r="M106" s="1569">
        <f t="shared" ref="M106" si="5">SUM(M52:M105)-M90-M91</f>
        <v>0</v>
      </c>
      <c r="N106" s="1345"/>
      <c r="O106" s="405"/>
      <c r="P106" s="373"/>
      <c r="Q106" s="692"/>
      <c r="R106" s="692"/>
    </row>
    <row r="107" spans="1:24" s="45" customFormat="1" ht="47.25" customHeight="1" x14ac:dyDescent="0.25">
      <c r="A107" s="2422" t="s">
        <v>15</v>
      </c>
      <c r="B107" s="2424" t="s">
        <v>35</v>
      </c>
      <c r="C107" s="2634" t="s">
        <v>35</v>
      </c>
      <c r="D107" s="1748"/>
      <c r="E107" s="2397" t="s">
        <v>50</v>
      </c>
      <c r="F107" s="2428" t="s">
        <v>121</v>
      </c>
      <c r="G107" s="2430" t="s">
        <v>19</v>
      </c>
      <c r="H107" s="1765" t="s">
        <v>347</v>
      </c>
      <c r="I107" s="1248" t="s">
        <v>22</v>
      </c>
      <c r="J107" s="1871">
        <v>445.7</v>
      </c>
      <c r="K107" s="1850">
        <v>445.7</v>
      </c>
      <c r="L107" s="993">
        <v>445.7</v>
      </c>
      <c r="M107" s="1920"/>
      <c r="N107" s="2409" t="s">
        <v>106</v>
      </c>
      <c r="O107" s="1153">
        <v>97</v>
      </c>
      <c r="P107" s="1154">
        <v>97</v>
      </c>
      <c r="Q107" s="1155">
        <v>97</v>
      </c>
      <c r="R107" s="1155">
        <v>97</v>
      </c>
      <c r="S107" s="48"/>
    </row>
    <row r="108" spans="1:24" s="48" customFormat="1" ht="21.75" customHeight="1" thickBot="1" x14ac:dyDescent="0.3">
      <c r="A108" s="2423"/>
      <c r="B108" s="2425"/>
      <c r="C108" s="2635"/>
      <c r="D108" s="1750"/>
      <c r="E108" s="2398"/>
      <c r="F108" s="2429"/>
      <c r="G108" s="2431"/>
      <c r="H108" s="1764"/>
      <c r="I108" s="1249" t="s">
        <v>26</v>
      </c>
      <c r="J108" s="1617">
        <f>SUM(J107)</f>
        <v>445.7</v>
      </c>
      <c r="K108" s="1895">
        <f>SUM(K107)</f>
        <v>445.7</v>
      </c>
      <c r="L108" s="336">
        <f>SUM(L107)</f>
        <v>445.7</v>
      </c>
      <c r="M108" s="1844">
        <f>SUM(M107)</f>
        <v>0</v>
      </c>
      <c r="N108" s="2410"/>
      <c r="O108" s="368"/>
      <c r="P108" s="1156"/>
      <c r="Q108" s="1069"/>
      <c r="R108" s="1069"/>
    </row>
    <row r="109" spans="1:24" s="2" customFormat="1" ht="42" customHeight="1" x14ac:dyDescent="0.25">
      <c r="A109" s="581" t="s">
        <v>15</v>
      </c>
      <c r="B109" s="49" t="s">
        <v>35</v>
      </c>
      <c r="C109" s="1734" t="s">
        <v>39</v>
      </c>
      <c r="D109" s="1736"/>
      <c r="E109" s="2411" t="s">
        <v>51</v>
      </c>
      <c r="F109" s="291"/>
      <c r="G109" s="105" t="s">
        <v>19</v>
      </c>
      <c r="H109" s="1765" t="s">
        <v>347</v>
      </c>
      <c r="I109" s="1248" t="s">
        <v>22</v>
      </c>
      <c r="J109" s="1618">
        <v>646.20000000000005</v>
      </c>
      <c r="K109" s="1896">
        <f>786.6-123.4</f>
        <v>663.2</v>
      </c>
      <c r="L109" s="1449">
        <f>786.6-123.4</f>
        <v>663.2</v>
      </c>
      <c r="M109" s="1921"/>
      <c r="N109" s="1677"/>
      <c r="O109" s="1122"/>
      <c r="P109" s="385"/>
      <c r="Q109" s="107"/>
      <c r="R109" s="107"/>
    </row>
    <row r="110" spans="1:24" s="2" customFormat="1" ht="52.5" customHeight="1" x14ac:dyDescent="0.25">
      <c r="A110" s="582"/>
      <c r="B110" s="51"/>
      <c r="C110" s="9"/>
      <c r="D110" s="1737"/>
      <c r="E110" s="2412"/>
      <c r="F110" s="1692"/>
      <c r="G110" s="58"/>
      <c r="H110" s="151"/>
      <c r="I110" s="1251"/>
      <c r="J110" s="1619"/>
      <c r="K110" s="1897"/>
      <c r="L110" s="246"/>
      <c r="M110" s="1922"/>
      <c r="N110" s="1311"/>
      <c r="O110" s="301"/>
      <c r="P110" s="1709"/>
      <c r="Q110" s="701"/>
      <c r="R110" s="701"/>
    </row>
    <row r="111" spans="1:24" s="2" customFormat="1" ht="68.25" customHeight="1" x14ac:dyDescent="0.25">
      <c r="A111" s="582"/>
      <c r="B111" s="51"/>
      <c r="C111" s="9"/>
      <c r="D111" s="1751" t="s">
        <v>15</v>
      </c>
      <c r="E111" s="26" t="s">
        <v>97</v>
      </c>
      <c r="F111" s="702"/>
      <c r="G111" s="58"/>
      <c r="H111" s="151"/>
      <c r="I111" s="1161"/>
      <c r="J111" s="1587"/>
      <c r="K111" s="1898"/>
      <c r="L111" s="284"/>
      <c r="M111" s="997"/>
      <c r="N111" s="1656" t="s">
        <v>233</v>
      </c>
      <c r="O111" s="1138" t="s">
        <v>133</v>
      </c>
      <c r="P111" s="1088">
        <v>13</v>
      </c>
      <c r="Q111" s="1121">
        <v>13</v>
      </c>
      <c r="R111" s="1121">
        <v>13</v>
      </c>
      <c r="S111" s="1203"/>
      <c r="V111" s="3"/>
      <c r="W111" s="3"/>
    </row>
    <row r="112" spans="1:24" s="2" customFormat="1" ht="62.25" customHeight="1" x14ac:dyDescent="0.25">
      <c r="A112" s="582"/>
      <c r="B112" s="51"/>
      <c r="C112" s="9"/>
      <c r="D112" s="1737" t="s">
        <v>35</v>
      </c>
      <c r="E112" s="26" t="s">
        <v>98</v>
      </c>
      <c r="F112" s="363" t="s">
        <v>124</v>
      </c>
      <c r="G112" s="58"/>
      <c r="H112" s="151"/>
      <c r="I112" s="1161"/>
      <c r="J112" s="1587"/>
      <c r="K112" s="1898"/>
      <c r="L112" s="284"/>
      <c r="M112" s="997"/>
      <c r="N112" s="1443" t="s">
        <v>212</v>
      </c>
      <c r="O112" s="1328">
        <v>20</v>
      </c>
      <c r="P112" s="1157">
        <v>20</v>
      </c>
      <c r="Q112" s="1158">
        <v>20</v>
      </c>
      <c r="R112" s="1158">
        <v>20</v>
      </c>
      <c r="X112" s="3"/>
    </row>
    <row r="113" spans="1:28" s="2" customFormat="1" ht="39.75" customHeight="1" x14ac:dyDescent="0.25">
      <c r="A113" s="582"/>
      <c r="B113" s="51"/>
      <c r="C113" s="9"/>
      <c r="D113" s="1738" t="s">
        <v>39</v>
      </c>
      <c r="E113" s="2291" t="s">
        <v>99</v>
      </c>
      <c r="F113" s="705"/>
      <c r="G113" s="58"/>
      <c r="H113" s="151"/>
      <c r="I113" s="1247"/>
      <c r="J113" s="1580"/>
      <c r="K113" s="1891"/>
      <c r="L113" s="1352"/>
      <c r="M113" s="1321"/>
      <c r="N113" s="1444" t="s">
        <v>232</v>
      </c>
      <c r="O113" s="1084">
        <v>34</v>
      </c>
      <c r="P113" s="1162">
        <v>34</v>
      </c>
      <c r="Q113" s="1163">
        <v>34</v>
      </c>
      <c r="R113" s="1163">
        <v>34</v>
      </c>
      <c r="S113" s="1203"/>
      <c r="T113" s="3"/>
    </row>
    <row r="114" spans="1:28" s="2" customFormat="1" ht="41.25" customHeight="1" x14ac:dyDescent="0.25">
      <c r="A114" s="582"/>
      <c r="B114" s="51"/>
      <c r="C114" s="9"/>
      <c r="D114" s="1739"/>
      <c r="E114" s="2292"/>
      <c r="F114" s="1679"/>
      <c r="G114" s="58"/>
      <c r="H114" s="151"/>
      <c r="I114" s="1247"/>
      <c r="J114" s="1580"/>
      <c r="K114" s="1891"/>
      <c r="L114" s="1352"/>
      <c r="M114" s="1321"/>
      <c r="N114" s="1445" t="s">
        <v>307</v>
      </c>
      <c r="O114" s="1697"/>
      <c r="P114" s="1159">
        <v>35</v>
      </c>
      <c r="Q114" s="1160">
        <v>35</v>
      </c>
      <c r="R114" s="1160">
        <v>35</v>
      </c>
      <c r="S114" s="1203"/>
      <c r="T114" s="3"/>
    </row>
    <row r="115" spans="1:28" s="2" customFormat="1" ht="56.25" customHeight="1" x14ac:dyDescent="0.25">
      <c r="A115" s="582"/>
      <c r="B115" s="51"/>
      <c r="C115" s="9"/>
      <c r="D115" s="1737" t="s">
        <v>41</v>
      </c>
      <c r="E115" s="41" t="s">
        <v>100</v>
      </c>
      <c r="F115" s="899" t="s">
        <v>115</v>
      </c>
      <c r="G115" s="58"/>
      <c r="H115" s="151"/>
      <c r="I115" s="1247"/>
      <c r="J115" s="1580"/>
      <c r="K115" s="1891"/>
      <c r="L115" s="1352"/>
      <c r="M115" s="1321"/>
      <c r="N115" s="1446" t="s">
        <v>213</v>
      </c>
      <c r="O115" s="1697">
        <v>120</v>
      </c>
      <c r="P115" s="1159">
        <v>120</v>
      </c>
      <c r="Q115" s="1160">
        <v>120</v>
      </c>
      <c r="R115" s="1160">
        <v>120</v>
      </c>
      <c r="S115" s="3"/>
    </row>
    <row r="116" spans="1:28" s="2" customFormat="1" ht="78.75" customHeight="1" x14ac:dyDescent="0.25">
      <c r="A116" s="582"/>
      <c r="B116" s="51"/>
      <c r="C116" s="9"/>
      <c r="D116" s="1751" t="s">
        <v>42</v>
      </c>
      <c r="E116" s="54" t="s">
        <v>111</v>
      </c>
      <c r="F116" s="1694" t="s">
        <v>114</v>
      </c>
      <c r="G116" s="58"/>
      <c r="H116" s="151"/>
      <c r="I116" s="1161"/>
      <c r="J116" s="1587"/>
      <c r="K116" s="1898"/>
      <c r="L116" s="284"/>
      <c r="M116" s="997"/>
      <c r="N116" s="1447" t="s">
        <v>214</v>
      </c>
      <c r="O116" s="1084">
        <v>150</v>
      </c>
      <c r="P116" s="1162">
        <v>150</v>
      </c>
      <c r="Q116" s="1163">
        <v>150</v>
      </c>
      <c r="R116" s="1163">
        <v>150</v>
      </c>
      <c r="S116" s="3"/>
      <c r="W116" s="3"/>
    </row>
    <row r="117" spans="1:28" s="2" customFormat="1" ht="63.75" customHeight="1" x14ac:dyDescent="0.25">
      <c r="A117" s="1673"/>
      <c r="B117" s="1675"/>
      <c r="C117" s="1682"/>
      <c r="D117" s="1740" t="s">
        <v>60</v>
      </c>
      <c r="E117" s="55" t="s">
        <v>110</v>
      </c>
      <c r="F117" s="126" t="s">
        <v>122</v>
      </c>
      <c r="G117" s="1670"/>
      <c r="H117" s="1763"/>
      <c r="I117" s="1161"/>
      <c r="J117" s="1587"/>
      <c r="K117" s="1898"/>
      <c r="L117" s="284"/>
      <c r="M117" s="997"/>
      <c r="N117" s="1447" t="s">
        <v>215</v>
      </c>
      <c r="O117" s="1329">
        <v>1</v>
      </c>
      <c r="P117" s="1162">
        <v>1</v>
      </c>
      <c r="Q117" s="1163">
        <v>1</v>
      </c>
      <c r="R117" s="1163">
        <v>1</v>
      </c>
    </row>
    <row r="118" spans="1:28" s="2" customFormat="1" ht="38.25" customHeight="1" x14ac:dyDescent="0.25">
      <c r="A118" s="1673"/>
      <c r="B118" s="1675"/>
      <c r="C118" s="1682"/>
      <c r="D118" s="1745" t="s">
        <v>61</v>
      </c>
      <c r="E118" s="2413" t="s">
        <v>52</v>
      </c>
      <c r="F118" s="705" t="s">
        <v>116</v>
      </c>
      <c r="G118" s="1670"/>
      <c r="H118" s="1763"/>
      <c r="I118" s="1161"/>
      <c r="J118" s="1587"/>
      <c r="K118" s="1898"/>
      <c r="L118" s="284"/>
      <c r="M118" s="997"/>
      <c r="N118" s="2415" t="s">
        <v>216</v>
      </c>
      <c r="O118" s="1330">
        <v>20</v>
      </c>
      <c r="P118" s="1164">
        <v>20</v>
      </c>
      <c r="Q118" s="1165">
        <v>20</v>
      </c>
      <c r="R118" s="1165">
        <v>20</v>
      </c>
    </row>
    <row r="119" spans="1:28" s="2" customFormat="1" ht="19.5" customHeight="1" thickBot="1" x14ac:dyDescent="0.3">
      <c r="A119" s="1685"/>
      <c r="B119" s="1686"/>
      <c r="C119" s="714"/>
      <c r="D119" s="1742"/>
      <c r="E119" s="2414"/>
      <c r="F119" s="1706"/>
      <c r="G119" s="1671"/>
      <c r="H119" s="1766"/>
      <c r="I119" s="367" t="s">
        <v>26</v>
      </c>
      <c r="J119" s="1597">
        <f>SUM(J109:J118)</f>
        <v>646.20000000000005</v>
      </c>
      <c r="K119" s="839">
        <f t="shared" ref="K119:L119" si="6">SUM(K109:K118)</f>
        <v>663.2</v>
      </c>
      <c r="L119" s="223">
        <f t="shared" si="6"/>
        <v>663.2</v>
      </c>
      <c r="M119" s="381">
        <f t="shared" ref="M119" si="7">SUM(M109:M118)</f>
        <v>0</v>
      </c>
      <c r="N119" s="2405"/>
      <c r="O119" s="1331"/>
      <c r="P119" s="1166"/>
      <c r="Q119" s="1167"/>
      <c r="R119" s="1167"/>
    </row>
    <row r="120" spans="1:28" s="2" customFormat="1" ht="15.75" customHeight="1" x14ac:dyDescent="0.25">
      <c r="A120" s="581" t="s">
        <v>15</v>
      </c>
      <c r="B120" s="49" t="s">
        <v>35</v>
      </c>
      <c r="C120" s="1734" t="s">
        <v>41</v>
      </c>
      <c r="D120" s="1736"/>
      <c r="E120" s="2416" t="s">
        <v>53</v>
      </c>
      <c r="F120" s="2418" t="s">
        <v>118</v>
      </c>
      <c r="G120" s="105" t="s">
        <v>19</v>
      </c>
      <c r="H120" s="2632" t="s">
        <v>347</v>
      </c>
      <c r="I120" s="1250" t="s">
        <v>22</v>
      </c>
      <c r="J120" s="1620">
        <v>93.4</v>
      </c>
      <c r="K120" s="1899">
        <f>128.4-35</f>
        <v>93.4</v>
      </c>
      <c r="L120" s="1391">
        <f>128.4-35</f>
        <v>93.4</v>
      </c>
      <c r="M120" s="1923"/>
      <c r="N120" s="1688"/>
      <c r="O120" s="689"/>
      <c r="P120" s="1699"/>
      <c r="Q120" s="1072"/>
      <c r="R120" s="1072"/>
    </row>
    <row r="121" spans="1:28" s="2" customFormat="1" ht="15.75" customHeight="1" x14ac:dyDescent="0.25">
      <c r="A121" s="582"/>
      <c r="B121" s="51"/>
      <c r="C121" s="9"/>
      <c r="D121" s="1737"/>
      <c r="E121" s="2417"/>
      <c r="F121" s="2419"/>
      <c r="G121" s="58"/>
      <c r="H121" s="2618"/>
      <c r="I121" s="1254" t="s">
        <v>37</v>
      </c>
      <c r="J121" s="1621">
        <v>241.9</v>
      </c>
      <c r="K121" s="1900">
        <v>241.9</v>
      </c>
      <c r="L121" s="1450">
        <v>241.9</v>
      </c>
      <c r="M121" s="1924"/>
      <c r="N121" s="1313"/>
      <c r="O121" s="183"/>
      <c r="P121" s="695"/>
      <c r="Q121" s="1066"/>
      <c r="R121" s="1066"/>
    </row>
    <row r="122" spans="1:28" s="2" customFormat="1" ht="67.5" customHeight="1" x14ac:dyDescent="0.25">
      <c r="A122" s="582"/>
      <c r="B122" s="51"/>
      <c r="C122" s="9"/>
      <c r="D122" s="1738" t="s">
        <v>15</v>
      </c>
      <c r="E122" s="57" t="s">
        <v>55</v>
      </c>
      <c r="F122" s="2419"/>
      <c r="G122" s="58"/>
      <c r="H122" s="2618"/>
      <c r="I122" s="1251"/>
      <c r="J122" s="1613"/>
      <c r="K122" s="1901"/>
      <c r="L122" s="1551"/>
      <c r="M122" s="1925"/>
      <c r="N122" s="1309" t="s">
        <v>334</v>
      </c>
      <c r="O122" s="1174">
        <v>19</v>
      </c>
      <c r="P122" s="317">
        <v>19</v>
      </c>
      <c r="Q122" s="1078">
        <v>19</v>
      </c>
      <c r="R122" s="1078">
        <v>19</v>
      </c>
      <c r="S122" s="1533"/>
      <c r="U122" s="3"/>
      <c r="V122" s="3"/>
      <c r="W122" s="3"/>
      <c r="AB122" s="3"/>
    </row>
    <row r="123" spans="1:28" s="2" customFormat="1" ht="15.75" customHeight="1" x14ac:dyDescent="0.25">
      <c r="A123" s="2406"/>
      <c r="B123" s="2407"/>
      <c r="C123" s="1682"/>
      <c r="D123" s="1745" t="s">
        <v>35</v>
      </c>
      <c r="E123" s="2291" t="s">
        <v>56</v>
      </c>
      <c r="F123" s="2419"/>
      <c r="G123" s="1494"/>
      <c r="H123" s="1767"/>
      <c r="I123" s="1251"/>
      <c r="J123" s="1613"/>
      <c r="K123" s="1859"/>
      <c r="L123" s="247"/>
      <c r="M123" s="1092"/>
      <c r="N123" s="2408" t="s">
        <v>296</v>
      </c>
      <c r="O123" s="1204" t="s">
        <v>297</v>
      </c>
      <c r="P123" s="1205" t="s">
        <v>297</v>
      </c>
      <c r="Q123" s="1165">
        <v>11</v>
      </c>
      <c r="R123" s="1165">
        <v>11</v>
      </c>
    </row>
    <row r="124" spans="1:28" s="2" customFormat="1" ht="15.75" customHeight="1" x14ac:dyDescent="0.25">
      <c r="A124" s="2406"/>
      <c r="B124" s="2407"/>
      <c r="C124" s="1682"/>
      <c r="D124" s="1740"/>
      <c r="E124" s="2293"/>
      <c r="F124" s="155"/>
      <c r="G124" s="1494"/>
      <c r="H124" s="1767"/>
      <c r="I124" s="709"/>
      <c r="J124" s="1605"/>
      <c r="K124" s="1893"/>
      <c r="L124" s="217"/>
      <c r="M124" s="1919"/>
      <c r="N124" s="2408"/>
      <c r="O124" s="1180"/>
      <c r="P124" s="22"/>
      <c r="Q124" s="1168"/>
      <c r="R124" s="1168"/>
    </row>
    <row r="125" spans="1:28" s="2" customFormat="1" ht="16.5" customHeight="1" thickBot="1" x14ac:dyDescent="0.3">
      <c r="A125" s="1685"/>
      <c r="B125" s="1686"/>
      <c r="C125" s="714"/>
      <c r="D125" s="1742"/>
      <c r="E125" s="2294"/>
      <c r="F125" s="1706"/>
      <c r="G125" s="1676"/>
      <c r="H125" s="1768"/>
      <c r="I125" s="1249" t="s">
        <v>26</v>
      </c>
      <c r="J125" s="1623">
        <f>SUM(J120:J124)</f>
        <v>335.3</v>
      </c>
      <c r="K125" s="1895">
        <f t="shared" ref="K125:L125" si="8">SUM(K120:K124)</f>
        <v>335.3</v>
      </c>
      <c r="L125" s="249">
        <f t="shared" si="8"/>
        <v>335.3</v>
      </c>
      <c r="M125" s="1926">
        <f t="shared" ref="M125" si="9">SUM(M120:M124)</f>
        <v>0</v>
      </c>
      <c r="N125" s="1346"/>
      <c r="O125" s="1181"/>
      <c r="P125" s="1172"/>
      <c r="Q125" s="1171"/>
      <c r="R125" s="1171"/>
    </row>
    <row r="126" spans="1:28" s="2" customFormat="1" ht="25.5" customHeight="1" x14ac:dyDescent="0.25">
      <c r="A126" s="1672" t="s">
        <v>15</v>
      </c>
      <c r="B126" s="1674" t="s">
        <v>35</v>
      </c>
      <c r="C126" s="1747" t="s">
        <v>42</v>
      </c>
      <c r="D126" s="1744"/>
      <c r="E126" s="1714" t="s">
        <v>57</v>
      </c>
      <c r="F126" s="1122"/>
      <c r="G126" s="1222" t="s">
        <v>58</v>
      </c>
      <c r="H126" s="2630" t="s">
        <v>348</v>
      </c>
      <c r="I126" s="1250" t="s">
        <v>22</v>
      </c>
      <c r="J126" s="1624">
        <v>90</v>
      </c>
      <c r="K126" s="1771">
        <v>90</v>
      </c>
      <c r="L126" s="1213">
        <v>90</v>
      </c>
      <c r="M126" s="1927"/>
      <c r="N126" s="1347" t="s">
        <v>59</v>
      </c>
      <c r="O126" s="1030">
        <v>22</v>
      </c>
      <c r="P126" s="1214">
        <v>22</v>
      </c>
      <c r="Q126" s="1215">
        <v>22</v>
      </c>
      <c r="R126" s="1215">
        <v>22</v>
      </c>
      <c r="X126" s="3"/>
    </row>
    <row r="127" spans="1:28" s="2" customFormat="1" ht="27" customHeight="1" x14ac:dyDescent="0.25">
      <c r="A127" s="1712"/>
      <c r="B127" s="1713"/>
      <c r="C127" s="1682"/>
      <c r="D127" s="1740"/>
      <c r="E127" s="1681"/>
      <c r="F127" s="1696"/>
      <c r="G127" s="1223"/>
      <c r="H127" s="2631"/>
      <c r="I127" s="1720" t="s">
        <v>37</v>
      </c>
      <c r="J127" s="1878"/>
      <c r="K127" s="1856">
        <v>110</v>
      </c>
      <c r="L127" s="1913">
        <v>110</v>
      </c>
      <c r="M127" s="1136"/>
      <c r="N127" s="1446" t="s">
        <v>258</v>
      </c>
      <c r="O127" s="1650">
        <v>5</v>
      </c>
      <c r="P127" s="1651"/>
      <c r="Q127" s="1652"/>
      <c r="R127" s="1652"/>
      <c r="X127" s="3"/>
    </row>
    <row r="128" spans="1:28" s="2" customFormat="1" ht="42.75" customHeight="1" x14ac:dyDescent="0.25">
      <c r="A128" s="1712"/>
      <c r="B128" s="1713"/>
      <c r="C128" s="1682"/>
      <c r="D128" s="1740"/>
      <c r="E128" s="1681"/>
      <c r="F128" s="1696"/>
      <c r="G128" s="1223"/>
      <c r="H128" s="1696"/>
      <c r="I128" s="1253" t="s">
        <v>20</v>
      </c>
      <c r="J128" s="1605">
        <v>137.30000000000001</v>
      </c>
      <c r="K128" s="1893"/>
      <c r="L128" s="217"/>
      <c r="M128" s="1919"/>
      <c r="N128" s="1446" t="s">
        <v>107</v>
      </c>
      <c r="O128" s="1650">
        <v>10</v>
      </c>
      <c r="P128" s="1651">
        <v>10</v>
      </c>
      <c r="Q128" s="1652">
        <v>10</v>
      </c>
      <c r="R128" s="1652">
        <v>10</v>
      </c>
    </row>
    <row r="129" spans="1:24" s="2" customFormat="1" ht="15" customHeight="1" x14ac:dyDescent="0.25">
      <c r="A129" s="1712"/>
      <c r="B129" s="1713"/>
      <c r="C129" s="1682"/>
      <c r="D129" s="1740"/>
      <c r="E129" s="1681"/>
      <c r="F129" s="1696"/>
      <c r="G129" s="1223"/>
      <c r="H129" s="1696"/>
      <c r="I129" s="1253"/>
      <c r="J129" s="1605"/>
      <c r="K129" s="1893"/>
      <c r="L129" s="217"/>
      <c r="M129" s="1919"/>
      <c r="N129" s="2404" t="s">
        <v>147</v>
      </c>
      <c r="O129" s="1221">
        <v>30</v>
      </c>
      <c r="P129" s="1219">
        <v>30</v>
      </c>
      <c r="Q129" s="1220">
        <v>30</v>
      </c>
      <c r="R129" s="1220">
        <v>30</v>
      </c>
    </row>
    <row r="130" spans="1:24" s="2" customFormat="1" ht="16.5" customHeight="1" thickBot="1" x14ac:dyDescent="0.3">
      <c r="A130" s="1673"/>
      <c r="B130" s="1675"/>
      <c r="C130" s="1682"/>
      <c r="D130" s="1740"/>
      <c r="E130" s="1715"/>
      <c r="F130" s="1696"/>
      <c r="G130" s="1223"/>
      <c r="H130" s="1696"/>
      <c r="I130" s="1255" t="s">
        <v>26</v>
      </c>
      <c r="J130" s="1597">
        <f>SUM(J126:J129)</f>
        <v>227.3</v>
      </c>
      <c r="K130" s="839">
        <f>SUM(K126:K129)</f>
        <v>200</v>
      </c>
      <c r="L130" s="346">
        <f>SUM(L126:L129)</f>
        <v>200</v>
      </c>
      <c r="M130" s="381">
        <f>SUM(M126:M129)</f>
        <v>0</v>
      </c>
      <c r="N130" s="2405"/>
      <c r="O130" s="1224"/>
      <c r="P130" s="1225"/>
      <c r="Q130" s="1226"/>
      <c r="R130" s="1226"/>
      <c r="X130" s="3"/>
    </row>
    <row r="131" spans="1:24" s="2" customFormat="1" ht="27" customHeight="1" x14ac:dyDescent="0.25">
      <c r="A131" s="1672" t="s">
        <v>15</v>
      </c>
      <c r="B131" s="1674" t="s">
        <v>35</v>
      </c>
      <c r="C131" s="1747" t="s">
        <v>60</v>
      </c>
      <c r="D131" s="1744"/>
      <c r="E131" s="2397" t="s">
        <v>112</v>
      </c>
      <c r="F131" s="38"/>
      <c r="G131" s="2399">
        <v>3</v>
      </c>
      <c r="H131" s="2623" t="s">
        <v>347</v>
      </c>
      <c r="I131" s="1250" t="s">
        <v>22</v>
      </c>
      <c r="J131" s="1626">
        <v>5</v>
      </c>
      <c r="K131" s="1902">
        <v>5</v>
      </c>
      <c r="L131" s="606">
        <v>5</v>
      </c>
      <c r="M131" s="1928"/>
      <c r="N131" s="2402" t="s">
        <v>305</v>
      </c>
      <c r="O131" s="1176">
        <v>2</v>
      </c>
      <c r="P131" s="1135">
        <v>2</v>
      </c>
      <c r="Q131" s="1073">
        <v>2</v>
      </c>
      <c r="R131" s="1073">
        <v>2</v>
      </c>
    </row>
    <row r="132" spans="1:24" s="2" customFormat="1" ht="16.5" customHeight="1" thickBot="1" x14ac:dyDescent="0.3">
      <c r="A132" s="1685"/>
      <c r="B132" s="1686"/>
      <c r="C132" s="714"/>
      <c r="D132" s="1742"/>
      <c r="E132" s="2398"/>
      <c r="F132" s="1438"/>
      <c r="G132" s="2400"/>
      <c r="H132" s="2625"/>
      <c r="I132" s="1249" t="s">
        <v>26</v>
      </c>
      <c r="J132" s="1597">
        <f>J131</f>
        <v>5</v>
      </c>
      <c r="K132" s="839">
        <f>K131</f>
        <v>5</v>
      </c>
      <c r="L132" s="223">
        <f>L131</f>
        <v>5</v>
      </c>
      <c r="M132" s="381">
        <f>M131</f>
        <v>0</v>
      </c>
      <c r="N132" s="2403"/>
      <c r="O132" s="1439"/>
      <c r="P132" s="1440"/>
      <c r="Q132" s="1441"/>
      <c r="R132" s="1441"/>
    </row>
    <row r="133" spans="1:24" s="2" customFormat="1" ht="16.5" customHeight="1" x14ac:dyDescent="0.25">
      <c r="A133" s="2377" t="s">
        <v>15</v>
      </c>
      <c r="B133" s="2379" t="s">
        <v>35</v>
      </c>
      <c r="C133" s="2628" t="s">
        <v>61</v>
      </c>
      <c r="D133" s="1744"/>
      <c r="E133" s="2383" t="s">
        <v>130</v>
      </c>
      <c r="F133" s="2385"/>
      <c r="G133" s="2387">
        <v>3</v>
      </c>
      <c r="H133" s="2623" t="s">
        <v>347</v>
      </c>
      <c r="I133" s="1774" t="s">
        <v>20</v>
      </c>
      <c r="J133" s="1624">
        <v>91.9</v>
      </c>
      <c r="K133" s="1903">
        <v>76.900000000000006</v>
      </c>
      <c r="L133" s="275"/>
      <c r="M133" s="1929"/>
      <c r="N133" s="1688" t="s">
        <v>128</v>
      </c>
      <c r="O133" s="1182">
        <v>300</v>
      </c>
      <c r="P133" s="1699">
        <v>350</v>
      </c>
      <c r="Q133" s="1072"/>
      <c r="R133" s="1072"/>
    </row>
    <row r="134" spans="1:24" s="2" customFormat="1" ht="16.5" customHeight="1" x14ac:dyDescent="0.25">
      <c r="A134" s="2378"/>
      <c r="B134" s="2380"/>
      <c r="C134" s="2437"/>
      <c r="D134" s="1740"/>
      <c r="E134" s="2384"/>
      <c r="F134" s="2386"/>
      <c r="G134" s="2388"/>
      <c r="H134" s="2624"/>
      <c r="I134" s="1775" t="s">
        <v>339</v>
      </c>
      <c r="J134" s="1627">
        <v>34.6</v>
      </c>
      <c r="K134" s="1904"/>
      <c r="L134" s="1547"/>
      <c r="M134" s="1930"/>
      <c r="N134" s="1313"/>
      <c r="O134" s="1095"/>
      <c r="P134" s="695"/>
      <c r="Q134" s="1066"/>
      <c r="R134" s="1066"/>
    </row>
    <row r="135" spans="1:24" s="2" customFormat="1" ht="16.5" customHeight="1" x14ac:dyDescent="0.25">
      <c r="A135" s="2378"/>
      <c r="B135" s="2380"/>
      <c r="C135" s="2437"/>
      <c r="D135" s="1740"/>
      <c r="E135" s="2384"/>
      <c r="F135" s="2386"/>
      <c r="G135" s="2388"/>
      <c r="H135" s="2624"/>
      <c r="I135" s="1775" t="s">
        <v>168</v>
      </c>
      <c r="J135" s="1627">
        <v>206.5</v>
      </c>
      <c r="K135" s="1772">
        <v>172.5</v>
      </c>
      <c r="L135" s="446"/>
      <c r="M135" s="1931"/>
      <c r="N135" s="1313"/>
      <c r="O135" s="1095"/>
      <c r="P135" s="695"/>
      <c r="Q135" s="1066"/>
      <c r="R135" s="1066"/>
    </row>
    <row r="136" spans="1:24" s="2" customFormat="1" ht="16.5" customHeight="1" x14ac:dyDescent="0.25">
      <c r="A136" s="2378"/>
      <c r="B136" s="2380"/>
      <c r="C136" s="2437"/>
      <c r="D136" s="1740"/>
      <c r="E136" s="2384"/>
      <c r="F136" s="2386"/>
      <c r="G136" s="2388"/>
      <c r="H136" s="1763"/>
      <c r="I136" s="1775" t="s">
        <v>180</v>
      </c>
      <c r="J136" s="1628">
        <v>77.8</v>
      </c>
      <c r="K136" s="1773"/>
      <c r="L136" s="320"/>
      <c r="M136" s="430"/>
      <c r="N136" s="1313"/>
      <c r="O136" s="1095"/>
      <c r="P136" s="695"/>
      <c r="Q136" s="1066"/>
      <c r="R136" s="1066"/>
    </row>
    <row r="137" spans="1:24" s="2" customFormat="1" ht="15" customHeight="1" thickBot="1" x14ac:dyDescent="0.3">
      <c r="A137" s="2391"/>
      <c r="B137" s="2392"/>
      <c r="C137" s="2629"/>
      <c r="D137" s="1742"/>
      <c r="E137" s="2394"/>
      <c r="F137" s="2395"/>
      <c r="G137" s="2396"/>
      <c r="H137" s="1766"/>
      <c r="I137" s="32" t="s">
        <v>26</v>
      </c>
      <c r="J137" s="1597">
        <f>SUM(J133:J136)</f>
        <v>410.8</v>
      </c>
      <c r="K137" s="839">
        <f>SUM(K133:K135)</f>
        <v>249.4</v>
      </c>
      <c r="L137" s="223"/>
      <c r="M137" s="381"/>
      <c r="N137" s="1314"/>
      <c r="O137" s="1183"/>
      <c r="P137" s="1177"/>
      <c r="Q137" s="1186"/>
      <c r="R137" s="1186"/>
    </row>
    <row r="138" spans="1:24" s="2" customFormat="1" ht="18.75" customHeight="1" x14ac:dyDescent="0.25">
      <c r="A138" s="2377" t="s">
        <v>15</v>
      </c>
      <c r="B138" s="2379" t="s">
        <v>35</v>
      </c>
      <c r="C138" s="2628" t="s">
        <v>95</v>
      </c>
      <c r="D138" s="1744"/>
      <c r="E138" s="2389" t="s">
        <v>172</v>
      </c>
      <c r="F138" s="2385"/>
      <c r="G138" s="2387">
        <v>3</v>
      </c>
      <c r="H138" s="2623" t="s">
        <v>347</v>
      </c>
      <c r="I138" s="463" t="s">
        <v>22</v>
      </c>
      <c r="J138" s="1595">
        <v>39.5</v>
      </c>
      <c r="K138" s="1905">
        <v>7.3</v>
      </c>
      <c r="L138" s="1914"/>
      <c r="M138" s="1932"/>
      <c r="N138" s="2401" t="s">
        <v>221</v>
      </c>
      <c r="O138" s="1178">
        <v>1</v>
      </c>
      <c r="P138" s="1105"/>
      <c r="Q138" s="1072"/>
      <c r="R138" s="1072"/>
    </row>
    <row r="139" spans="1:24" s="2" customFormat="1" ht="41.25" customHeight="1" x14ac:dyDescent="0.25">
      <c r="A139" s="2378"/>
      <c r="B139" s="2380"/>
      <c r="C139" s="2437"/>
      <c r="D139" s="1740"/>
      <c r="E139" s="2390"/>
      <c r="F139" s="2386"/>
      <c r="G139" s="2388"/>
      <c r="H139" s="2624"/>
      <c r="I139" s="12" t="s">
        <v>168</v>
      </c>
      <c r="J139" s="1628">
        <v>223.6</v>
      </c>
      <c r="K139" s="1773">
        <v>41.5</v>
      </c>
      <c r="L139" s="320"/>
      <c r="M139" s="430"/>
      <c r="N139" s="2322"/>
      <c r="O139" s="1184"/>
      <c r="P139" s="1086"/>
      <c r="Q139" s="1076"/>
      <c r="R139" s="1076"/>
    </row>
    <row r="140" spans="1:24" s="2" customFormat="1" ht="43.5" customHeight="1" x14ac:dyDescent="0.25">
      <c r="A140" s="2378"/>
      <c r="B140" s="2380"/>
      <c r="C140" s="2437"/>
      <c r="D140" s="1740"/>
      <c r="E140" s="2390"/>
      <c r="F140" s="2386"/>
      <c r="G140" s="2388"/>
      <c r="H140" s="1763"/>
      <c r="I140" s="709"/>
      <c r="J140" s="1606"/>
      <c r="K140" s="1906"/>
      <c r="L140" s="1169"/>
      <c r="M140" s="1933"/>
      <c r="N140" s="1349" t="s">
        <v>241</v>
      </c>
      <c r="O140" s="1179">
        <v>340</v>
      </c>
      <c r="P140" s="112"/>
      <c r="Q140" s="1187"/>
      <c r="R140" s="1187"/>
      <c r="V140" s="3"/>
    </row>
    <row r="141" spans="1:24" s="2" customFormat="1" ht="15.75" customHeight="1" thickBot="1" x14ac:dyDescent="0.3">
      <c r="A141" s="2378"/>
      <c r="B141" s="2380"/>
      <c r="C141" s="2437"/>
      <c r="D141" s="1740"/>
      <c r="E141" s="2384"/>
      <c r="F141" s="2386"/>
      <c r="G141" s="2388"/>
      <c r="H141" s="1763"/>
      <c r="I141" s="367" t="s">
        <v>26</v>
      </c>
      <c r="J141" s="1630">
        <f>SUM(J138:J140)</f>
        <v>263.10000000000002</v>
      </c>
      <c r="K141" s="1907">
        <f t="shared" ref="K141" si="10">SUM(K138:K140)</f>
        <v>48.8</v>
      </c>
      <c r="L141" s="406"/>
      <c r="M141" s="1934"/>
      <c r="N141" s="1316" t="s">
        <v>220</v>
      </c>
      <c r="O141" s="405"/>
      <c r="P141" s="1188">
        <v>1</v>
      </c>
      <c r="Q141" s="1070"/>
      <c r="R141" s="1070"/>
    </row>
    <row r="142" spans="1:24" s="2" customFormat="1" ht="21.75" customHeight="1" x14ac:dyDescent="0.25">
      <c r="A142" s="2377" t="s">
        <v>15</v>
      </c>
      <c r="B142" s="2379" t="s">
        <v>35</v>
      </c>
      <c r="C142" s="2628" t="s">
        <v>96</v>
      </c>
      <c r="D142" s="1744"/>
      <c r="E142" s="2383" t="s">
        <v>157</v>
      </c>
      <c r="F142" s="2385"/>
      <c r="G142" s="2387">
        <v>5</v>
      </c>
      <c r="H142" s="2623" t="s">
        <v>349</v>
      </c>
      <c r="I142" s="1256" t="s">
        <v>22</v>
      </c>
      <c r="J142" s="1631">
        <f>137.3-50</f>
        <v>87.300000000000011</v>
      </c>
      <c r="K142" s="1869">
        <v>96.9</v>
      </c>
      <c r="L142" s="254">
        <v>104.4</v>
      </c>
      <c r="M142" s="1259"/>
      <c r="N142" s="1350" t="s">
        <v>143</v>
      </c>
      <c r="O142" s="1178">
        <v>12</v>
      </c>
      <c r="P142" s="1264">
        <v>17</v>
      </c>
      <c r="Q142" s="1265">
        <v>17</v>
      </c>
      <c r="R142" s="1265">
        <v>17</v>
      </c>
    </row>
    <row r="143" spans="1:24" s="2" customFormat="1" ht="26.25" customHeight="1" x14ac:dyDescent="0.25">
      <c r="A143" s="2378"/>
      <c r="B143" s="2380"/>
      <c r="C143" s="2437"/>
      <c r="D143" s="1740"/>
      <c r="E143" s="2384"/>
      <c r="F143" s="2386"/>
      <c r="G143" s="2388"/>
      <c r="H143" s="2624"/>
      <c r="I143" s="1257" t="s">
        <v>164</v>
      </c>
      <c r="J143" s="1592">
        <v>50</v>
      </c>
      <c r="K143" s="1857"/>
      <c r="L143" s="276"/>
      <c r="M143" s="1137"/>
      <c r="N143" s="1666"/>
      <c r="O143" s="1094"/>
      <c r="P143" s="1189"/>
      <c r="Q143" s="1067"/>
      <c r="R143" s="1067"/>
      <c r="S143" s="1533"/>
      <c r="V143" s="3"/>
    </row>
    <row r="144" spans="1:24" s="2" customFormat="1" ht="20.25" customHeight="1" thickBot="1" x14ac:dyDescent="0.3">
      <c r="A144" s="2378"/>
      <c r="B144" s="2380"/>
      <c r="C144" s="2437"/>
      <c r="D144" s="1742"/>
      <c r="E144" s="2384"/>
      <c r="F144" s="2386"/>
      <c r="G144" s="2388"/>
      <c r="H144" s="2625"/>
      <c r="I144" s="1258" t="s">
        <v>26</v>
      </c>
      <c r="J144" s="1623">
        <f>SUM(J142:J143)</f>
        <v>137.30000000000001</v>
      </c>
      <c r="K144" s="1895">
        <f>SUM(K142:K143)</f>
        <v>96.9</v>
      </c>
      <c r="L144" s="249">
        <f>SUM(L142:L143)</f>
        <v>104.4</v>
      </c>
      <c r="M144" s="1926">
        <f>SUM(M142:M143)</f>
        <v>0</v>
      </c>
      <c r="N144" s="1351"/>
      <c r="O144" s="405"/>
      <c r="P144" s="710"/>
      <c r="Q144" s="1070"/>
      <c r="R144" s="1070"/>
    </row>
    <row r="145" spans="1:23" s="2" customFormat="1" ht="16.5" customHeight="1" thickBot="1" x14ac:dyDescent="0.3">
      <c r="A145" s="577" t="s">
        <v>15</v>
      </c>
      <c r="B145" s="5" t="s">
        <v>35</v>
      </c>
      <c r="C145" s="2332" t="s">
        <v>43</v>
      </c>
      <c r="D145" s="2332"/>
      <c r="E145" s="2332"/>
      <c r="F145" s="2332"/>
      <c r="G145" s="2332"/>
      <c r="H145" s="2332"/>
      <c r="I145" s="2332"/>
      <c r="J145" s="1608">
        <f>J132+J130+J125+J119+J108+J106+J137+J141+J144</f>
        <v>9074.6999999999989</v>
      </c>
      <c r="K145" s="1908">
        <f>K132+K130+K125+K119+K108+K106+K137+K141+K144</f>
        <v>7794.4999999999991</v>
      </c>
      <c r="L145" s="305">
        <f>L132+L130+L125+L119+L108+L106+L137+L141+L144</f>
        <v>7440.3</v>
      </c>
      <c r="M145" s="382">
        <f>M132+M130+M125+M119+M108+M106+M137+M141+M144</f>
        <v>0</v>
      </c>
      <c r="N145" s="2333"/>
      <c r="O145" s="2334"/>
      <c r="P145" s="2334"/>
      <c r="Q145" s="2334"/>
      <c r="R145" s="2335"/>
      <c r="U145" s="3"/>
    </row>
    <row r="146" spans="1:23" s="2" customFormat="1" ht="14.25" customHeight="1" thickBot="1" x14ac:dyDescent="0.3">
      <c r="A146" s="578" t="s">
        <v>15</v>
      </c>
      <c r="B146" s="5" t="s">
        <v>39</v>
      </c>
      <c r="C146" s="2372" t="s">
        <v>64</v>
      </c>
      <c r="D146" s="2372"/>
      <c r="E146" s="2372"/>
      <c r="F146" s="2372"/>
      <c r="G146" s="2372"/>
      <c r="H146" s="2372"/>
      <c r="I146" s="2372"/>
      <c r="J146" s="2372"/>
      <c r="K146" s="2372"/>
      <c r="L146" s="2372"/>
      <c r="M146" s="2372"/>
      <c r="N146" s="2372"/>
      <c r="O146" s="2372"/>
      <c r="P146" s="2372"/>
      <c r="Q146" s="2372"/>
      <c r="R146" s="2373"/>
    </row>
    <row r="147" spans="1:23" s="3" customFormat="1" ht="54.75" customHeight="1" x14ac:dyDescent="0.25">
      <c r="A147" s="1672" t="s">
        <v>15</v>
      </c>
      <c r="B147" s="1674" t="s">
        <v>39</v>
      </c>
      <c r="C147" s="1752" t="s">
        <v>15</v>
      </c>
      <c r="D147" s="1753"/>
      <c r="E147" s="147" t="s">
        <v>65</v>
      </c>
      <c r="F147" s="125"/>
      <c r="G147" s="150"/>
      <c r="H147" s="1769"/>
      <c r="I147" s="630"/>
      <c r="J147" s="1601"/>
      <c r="K147" s="1935"/>
      <c r="L147" s="271"/>
      <c r="M147" s="1943"/>
      <c r="N147" s="192"/>
      <c r="O147" s="1197"/>
      <c r="P147" s="1197"/>
      <c r="Q147" s="388"/>
      <c r="R147" s="388"/>
    </row>
    <row r="148" spans="1:23" s="48" customFormat="1" ht="21.75" customHeight="1" x14ac:dyDescent="0.25">
      <c r="A148" s="583"/>
      <c r="B148" s="152"/>
      <c r="C148" s="153"/>
      <c r="D148" s="1757" t="s">
        <v>15</v>
      </c>
      <c r="E148" s="2370" t="s">
        <v>126</v>
      </c>
      <c r="F148" s="684" t="s">
        <v>66</v>
      </c>
      <c r="G148" s="411">
        <v>1</v>
      </c>
      <c r="H148" s="2619" t="s">
        <v>360</v>
      </c>
      <c r="I148" s="1704" t="s">
        <v>22</v>
      </c>
      <c r="J148" s="1602">
        <v>114.2</v>
      </c>
      <c r="K148" s="1861"/>
      <c r="L148" s="1705"/>
      <c r="M148" s="1843"/>
      <c r="N148" s="1667" t="s">
        <v>242</v>
      </c>
      <c r="O148" s="1198">
        <v>3</v>
      </c>
      <c r="P148" s="1208"/>
      <c r="Q148" s="1207"/>
      <c r="R148" s="1207"/>
    </row>
    <row r="149" spans="1:23" s="48" customFormat="1" ht="21.75" customHeight="1" x14ac:dyDescent="0.25">
      <c r="A149" s="583"/>
      <c r="B149" s="154"/>
      <c r="C149" s="153"/>
      <c r="D149" s="1758"/>
      <c r="E149" s="2371"/>
      <c r="F149" s="708"/>
      <c r="G149" s="299"/>
      <c r="H149" s="2620"/>
      <c r="I149" s="1301" t="s">
        <v>164</v>
      </c>
      <c r="J149" s="1603">
        <v>345.8</v>
      </c>
      <c r="K149" s="1936"/>
      <c r="L149" s="1549"/>
      <c r="M149" s="1944"/>
      <c r="N149" s="409"/>
      <c r="O149" s="1199"/>
      <c r="P149" s="1209"/>
      <c r="Q149" s="1074"/>
      <c r="R149" s="1074"/>
    </row>
    <row r="150" spans="1:23" s="3" customFormat="1" ht="17.25" customHeight="1" x14ac:dyDescent="0.25">
      <c r="A150" s="1673"/>
      <c r="B150" s="1675"/>
      <c r="C150" s="202"/>
      <c r="D150" s="1754" t="s">
        <v>35</v>
      </c>
      <c r="E150" s="2354" t="s">
        <v>229</v>
      </c>
      <c r="F150" s="1057" t="s">
        <v>66</v>
      </c>
      <c r="G150" s="1059">
        <v>5</v>
      </c>
      <c r="H150" s="2619" t="s">
        <v>350</v>
      </c>
      <c r="I150" s="1230" t="s">
        <v>22</v>
      </c>
      <c r="J150" s="1604">
        <v>529.29999999999995</v>
      </c>
      <c r="K150" s="1937">
        <v>100</v>
      </c>
      <c r="L150" s="1941">
        <v>1000</v>
      </c>
      <c r="M150" s="1260"/>
      <c r="N150" s="357" t="s">
        <v>186</v>
      </c>
      <c r="O150" s="416">
        <v>100</v>
      </c>
      <c r="P150" s="1054"/>
      <c r="Q150" s="396"/>
      <c r="R150" s="396"/>
      <c r="S150" s="1395"/>
      <c r="T150" s="1395"/>
      <c r="U150" s="1395"/>
    </row>
    <row r="151" spans="1:23" s="3" customFormat="1" ht="17.25" customHeight="1" x14ac:dyDescent="0.25">
      <c r="A151" s="1673"/>
      <c r="B151" s="1675"/>
      <c r="C151" s="202"/>
      <c r="D151" s="1754"/>
      <c r="E151" s="2288"/>
      <c r="F151" s="1058"/>
      <c r="G151" s="1060"/>
      <c r="H151" s="2624"/>
      <c r="I151" s="1230" t="s">
        <v>164</v>
      </c>
      <c r="J151" s="1604">
        <v>184.2</v>
      </c>
      <c r="K151" s="1938"/>
      <c r="L151" s="1941"/>
      <c r="M151" s="1260"/>
      <c r="N151" s="357" t="s">
        <v>225</v>
      </c>
      <c r="O151" s="1081">
        <v>100</v>
      </c>
      <c r="P151" s="416"/>
      <c r="Q151" s="287"/>
      <c r="R151" s="287"/>
      <c r="S151" s="1395"/>
      <c r="U151" s="1395">
        <v>30.6</v>
      </c>
    </row>
    <row r="152" spans="1:23" s="3" customFormat="1" ht="17.25" customHeight="1" x14ac:dyDescent="0.25">
      <c r="A152" s="1673"/>
      <c r="B152" s="1675"/>
      <c r="C152" s="202"/>
      <c r="D152" s="1754"/>
      <c r="E152" s="2374"/>
      <c r="F152" s="1058"/>
      <c r="G152" s="1060"/>
      <c r="H152" s="2620"/>
      <c r="I152" s="1246" t="s">
        <v>168</v>
      </c>
      <c r="J152" s="1604">
        <v>347.7</v>
      </c>
      <c r="K152" s="1938"/>
      <c r="L152" s="1941"/>
      <c r="M152" s="1260"/>
      <c r="N152" s="109"/>
      <c r="O152" s="1173"/>
      <c r="P152" s="1173"/>
      <c r="Q152" s="1488"/>
      <c r="R152" s="1488"/>
      <c r="S152" s="1395"/>
      <c r="T152" s="1395"/>
      <c r="U152" s="1395">
        <v>121.6</v>
      </c>
    </row>
    <row r="153" spans="1:23" s="3" customFormat="1" ht="15.75" customHeight="1" x14ac:dyDescent="0.25">
      <c r="A153" s="1673"/>
      <c r="B153" s="1675"/>
      <c r="C153" s="202"/>
      <c r="D153" s="1760" t="s">
        <v>39</v>
      </c>
      <c r="E153" s="2544" t="s">
        <v>278</v>
      </c>
      <c r="F153" s="1058"/>
      <c r="G153" s="1060"/>
      <c r="H153" s="2619" t="s">
        <v>350</v>
      </c>
      <c r="I153" s="1246" t="s">
        <v>180</v>
      </c>
      <c r="J153" s="1604">
        <v>2</v>
      </c>
      <c r="K153" s="1860"/>
      <c r="L153" s="1942"/>
      <c r="M153" s="1220"/>
      <c r="N153" s="1493" t="s">
        <v>158</v>
      </c>
      <c r="O153" s="1055">
        <v>100</v>
      </c>
      <c r="P153" s="1054"/>
      <c r="Q153" s="1220"/>
      <c r="R153" s="1220"/>
      <c r="T153" s="3" t="s">
        <v>180</v>
      </c>
      <c r="U153" s="3">
        <v>2</v>
      </c>
    </row>
    <row r="154" spans="1:23" s="3" customFormat="1" ht="27.75" customHeight="1" x14ac:dyDescent="0.25">
      <c r="A154" s="1673"/>
      <c r="B154" s="1675"/>
      <c r="C154" s="202"/>
      <c r="D154" s="1754"/>
      <c r="E154" s="2545"/>
      <c r="F154" s="1058"/>
      <c r="G154" s="1060"/>
      <c r="H154" s="2624"/>
      <c r="I154" s="1397"/>
      <c r="J154" s="1729"/>
      <c r="K154" s="1893"/>
      <c r="L154" s="1788"/>
      <c r="M154" s="316"/>
      <c r="N154" s="1493" t="s">
        <v>137</v>
      </c>
      <c r="O154" s="1055">
        <v>100</v>
      </c>
      <c r="P154" s="1055"/>
      <c r="Q154" s="316"/>
      <c r="R154" s="316"/>
    </row>
    <row r="155" spans="1:23" s="3" customFormat="1" ht="14.25" customHeight="1" x14ac:dyDescent="0.25">
      <c r="A155" s="1673"/>
      <c r="B155" s="1675"/>
      <c r="C155" s="202"/>
      <c r="D155" s="1759"/>
      <c r="E155" s="2545"/>
      <c r="F155" s="1058"/>
      <c r="G155" s="1060"/>
      <c r="H155" s="2620"/>
      <c r="I155" s="1777"/>
      <c r="J155" s="1730"/>
      <c r="K155" s="1939"/>
      <c r="L155" s="221"/>
      <c r="M155" s="1841"/>
      <c r="N155" s="1493"/>
      <c r="O155" s="1055"/>
      <c r="P155" s="1055"/>
      <c r="Q155" s="316"/>
      <c r="R155" s="316"/>
    </row>
    <row r="156" spans="1:23" s="2" customFormat="1" ht="33.75" customHeight="1" x14ac:dyDescent="0.25">
      <c r="A156" s="1673"/>
      <c r="B156" s="1675"/>
      <c r="C156" s="1682"/>
      <c r="D156" s="1740" t="s">
        <v>41</v>
      </c>
      <c r="E156" s="2368" t="s">
        <v>222</v>
      </c>
      <c r="F156" s="2375" t="s">
        <v>121</v>
      </c>
      <c r="G156" s="1060"/>
      <c r="H156" s="2619" t="s">
        <v>352</v>
      </c>
      <c r="I156" s="1398"/>
      <c r="J156" s="1580"/>
      <c r="K156" s="1891"/>
      <c r="L156" s="1352"/>
      <c r="M156" s="1321"/>
      <c r="N156" s="499" t="s">
        <v>62</v>
      </c>
      <c r="O156" s="467">
        <v>1</v>
      </c>
      <c r="P156" s="467"/>
      <c r="Q156" s="419"/>
      <c r="R156" s="419"/>
      <c r="S156" s="3"/>
    </row>
    <row r="157" spans="1:23" s="2" customFormat="1" ht="33.75" customHeight="1" x14ac:dyDescent="0.25">
      <c r="A157" s="1673"/>
      <c r="B157" s="1675"/>
      <c r="C157" s="1682"/>
      <c r="D157" s="1740"/>
      <c r="E157" s="2369"/>
      <c r="F157" s="2376"/>
      <c r="G157" s="851"/>
      <c r="H157" s="2624"/>
      <c r="I157" s="1005"/>
      <c r="J157" s="1580"/>
      <c r="K157" s="1891"/>
      <c r="L157" s="1352"/>
      <c r="M157" s="1321"/>
      <c r="N157" s="1669" t="s">
        <v>187</v>
      </c>
      <c r="O157" s="869"/>
      <c r="P157" s="869">
        <v>5</v>
      </c>
      <c r="Q157" s="870">
        <v>40</v>
      </c>
      <c r="R157" s="870">
        <v>40</v>
      </c>
      <c r="W157" s="3"/>
    </row>
    <row r="158" spans="1:23" s="3" customFormat="1" ht="54.75" customHeight="1" x14ac:dyDescent="0.25">
      <c r="A158" s="1673"/>
      <c r="B158" s="1675"/>
      <c r="C158" s="64"/>
      <c r="D158" s="1761" t="s">
        <v>42</v>
      </c>
      <c r="E158" s="194" t="s">
        <v>223</v>
      </c>
      <c r="F158" s="1401"/>
      <c r="G158" s="1053"/>
      <c r="H158" s="1779" t="s">
        <v>351</v>
      </c>
      <c r="I158" s="1780"/>
      <c r="J158" s="1603"/>
      <c r="K158" s="1772"/>
      <c r="L158" s="446"/>
      <c r="M158" s="1931"/>
      <c r="N158" s="1340" t="s">
        <v>159</v>
      </c>
      <c r="O158" s="1402">
        <v>100</v>
      </c>
      <c r="P158" s="1402"/>
      <c r="Q158" s="1101"/>
      <c r="R158" s="1101"/>
    </row>
    <row r="159" spans="1:23" s="3" customFormat="1" ht="43.5" customHeight="1" x14ac:dyDescent="0.25">
      <c r="A159" s="1673"/>
      <c r="B159" s="1675"/>
      <c r="C159" s="844"/>
      <c r="D159" s="1755" t="s">
        <v>60</v>
      </c>
      <c r="E159" s="1227" t="s">
        <v>303</v>
      </c>
      <c r="F159" s="846"/>
      <c r="G159" s="69">
        <v>6</v>
      </c>
      <c r="H159" s="2619" t="s">
        <v>348</v>
      </c>
      <c r="I159" s="1246" t="s">
        <v>22</v>
      </c>
      <c r="J159" s="1602">
        <v>93.6</v>
      </c>
      <c r="K159" s="1861">
        <v>132.80000000000001</v>
      </c>
      <c r="L159" s="1705">
        <v>110.6</v>
      </c>
      <c r="M159" s="1843"/>
      <c r="N159" s="1405" t="s">
        <v>304</v>
      </c>
      <c r="O159" s="869"/>
      <c r="P159" s="1703">
        <v>100</v>
      </c>
      <c r="Q159" s="1400"/>
      <c r="R159" s="1400"/>
      <c r="S159" s="1278"/>
      <c r="T159" s="1278"/>
      <c r="U159" s="1278"/>
    </row>
    <row r="160" spans="1:23" s="3" customFormat="1" ht="54.75" customHeight="1" x14ac:dyDescent="0.25">
      <c r="A160" s="1673"/>
      <c r="B160" s="1675"/>
      <c r="C160" s="844"/>
      <c r="D160" s="1755"/>
      <c r="E160" s="845"/>
      <c r="F160" s="846"/>
      <c r="G160" s="69"/>
      <c r="H160" s="2620"/>
      <c r="I160" s="1246" t="s">
        <v>164</v>
      </c>
      <c r="J160" s="1602">
        <v>17</v>
      </c>
      <c r="K160" s="1861"/>
      <c r="L160" s="1705"/>
      <c r="M160" s="1843"/>
      <c r="N160" s="1231" t="s">
        <v>335</v>
      </c>
      <c r="O160" s="1229"/>
      <c r="P160" s="1703">
        <v>100</v>
      </c>
      <c r="Q160" s="849"/>
      <c r="R160" s="849"/>
    </row>
    <row r="161" spans="1:23" s="1" customFormat="1" ht="55.5" customHeight="1" x14ac:dyDescent="0.2">
      <c r="A161" s="579"/>
      <c r="B161" s="1675"/>
      <c r="C161" s="1682"/>
      <c r="D161" s="1745" t="s">
        <v>61</v>
      </c>
      <c r="E161" s="1413" t="s">
        <v>141</v>
      </c>
      <c r="F161" s="468"/>
      <c r="G161" s="304"/>
      <c r="H161" s="1778" t="s">
        <v>348</v>
      </c>
      <c r="I161" s="1008"/>
      <c r="J161" s="1592"/>
      <c r="K161" s="1857"/>
      <c r="L161" s="1832"/>
      <c r="M161" s="1137"/>
      <c r="N161" s="527" t="s">
        <v>140</v>
      </c>
      <c r="O161" s="1229">
        <v>9</v>
      </c>
      <c r="P161" s="1403">
        <v>9</v>
      </c>
      <c r="Q161" s="1404">
        <v>9</v>
      </c>
      <c r="R161" s="1404">
        <v>9</v>
      </c>
      <c r="U161" s="68"/>
    </row>
    <row r="162" spans="1:23" s="2" customFormat="1" ht="16.5" customHeight="1" thickBot="1" x14ac:dyDescent="0.3">
      <c r="A162" s="1685"/>
      <c r="B162" s="1686"/>
      <c r="C162" s="203"/>
      <c r="D162" s="1756"/>
      <c r="E162" s="2359" t="s">
        <v>34</v>
      </c>
      <c r="F162" s="2360"/>
      <c r="G162" s="2360"/>
      <c r="H162" s="2360"/>
      <c r="I162" s="2360"/>
      <c r="J162" s="1593">
        <f>SUM(J148:J161)</f>
        <v>1633.8</v>
      </c>
      <c r="K162" s="1940">
        <f>SUM(K148:K161)</f>
        <v>232.8</v>
      </c>
      <c r="L162" s="1206">
        <f>SUM(L148:L161)</f>
        <v>1110.5999999999999</v>
      </c>
      <c r="M162" s="1574">
        <f>SUM(M148:M161)</f>
        <v>0</v>
      </c>
      <c r="N162" s="2361"/>
      <c r="O162" s="2362"/>
      <c r="P162" s="2362"/>
      <c r="Q162" s="2362"/>
      <c r="R162" s="2363"/>
    </row>
    <row r="163" spans="1:23" s="2" customFormat="1" ht="16.5" customHeight="1" thickBot="1" x14ac:dyDescent="0.3">
      <c r="A163" s="577" t="s">
        <v>15</v>
      </c>
      <c r="B163" s="71" t="s">
        <v>39</v>
      </c>
      <c r="C163" s="2364" t="s">
        <v>43</v>
      </c>
      <c r="D163" s="2332"/>
      <c r="E163" s="2332"/>
      <c r="F163" s="2332"/>
      <c r="G163" s="2332"/>
      <c r="H163" s="2332"/>
      <c r="I163" s="2332"/>
      <c r="J163" s="1608">
        <f>J162</f>
        <v>1633.8</v>
      </c>
      <c r="K163" s="1908">
        <f t="shared" ref="K163:L163" si="11">K162</f>
        <v>232.8</v>
      </c>
      <c r="L163" s="841">
        <f t="shared" si="11"/>
        <v>1110.5999999999999</v>
      </c>
      <c r="M163" s="382">
        <f t="shared" ref="M163" si="12">M162</f>
        <v>0</v>
      </c>
      <c r="N163" s="2333"/>
      <c r="O163" s="2334"/>
      <c r="P163" s="2334"/>
      <c r="Q163" s="2334"/>
      <c r="R163" s="2335"/>
    </row>
    <row r="164" spans="1:23" s="1" customFormat="1" ht="16.5" customHeight="1" thickBot="1" x14ac:dyDescent="0.25">
      <c r="A164" s="577" t="s">
        <v>15</v>
      </c>
      <c r="B164" s="71" t="s">
        <v>41</v>
      </c>
      <c r="C164" s="2365" t="s">
        <v>67</v>
      </c>
      <c r="D164" s="2366"/>
      <c r="E164" s="2366"/>
      <c r="F164" s="2366"/>
      <c r="G164" s="2366"/>
      <c r="H164" s="2366"/>
      <c r="I164" s="2366"/>
      <c r="J164" s="2366"/>
      <c r="K164" s="2366"/>
      <c r="L164" s="2366"/>
      <c r="M164" s="2366"/>
      <c r="N164" s="2366"/>
      <c r="O164" s="2366"/>
      <c r="P164" s="2366"/>
      <c r="Q164" s="2366"/>
      <c r="R164" s="2367"/>
    </row>
    <row r="165" spans="1:23" s="1" customFormat="1" ht="18" customHeight="1" x14ac:dyDescent="0.2">
      <c r="A165" s="1672" t="s">
        <v>15</v>
      </c>
      <c r="B165" s="1674" t="s">
        <v>41</v>
      </c>
      <c r="C165" s="1747" t="s">
        <v>15</v>
      </c>
      <c r="D165" s="1744"/>
      <c r="E165" s="72" t="s">
        <v>68</v>
      </c>
      <c r="F165" s="158"/>
      <c r="G165" s="105"/>
      <c r="H165" s="1765"/>
      <c r="I165" s="193"/>
      <c r="J165" s="1589"/>
      <c r="K165" s="1903"/>
      <c r="L165" s="275"/>
      <c r="M165" s="1929"/>
      <c r="N165" s="1296"/>
      <c r="O165" s="1702"/>
      <c r="P165" s="1702"/>
      <c r="Q165" s="1700"/>
      <c r="R165" s="1700"/>
    </row>
    <row r="166" spans="1:23" s="1" customFormat="1" ht="15.75" customHeight="1" x14ac:dyDescent="0.2">
      <c r="A166" s="1673"/>
      <c r="B166" s="1675"/>
      <c r="C166" s="1682"/>
      <c r="D166" s="1745" t="s">
        <v>15</v>
      </c>
      <c r="E166" s="349" t="s">
        <v>136</v>
      </c>
      <c r="F166" s="345"/>
      <c r="G166" s="73">
        <v>1</v>
      </c>
      <c r="H166" s="2617" t="s">
        <v>360</v>
      </c>
      <c r="I166" s="906" t="s">
        <v>308</v>
      </c>
      <c r="J166" s="1603">
        <v>300</v>
      </c>
      <c r="K166" s="1857"/>
      <c r="L166" s="276"/>
      <c r="M166" s="1137"/>
      <c r="N166" s="1710" t="s">
        <v>300</v>
      </c>
      <c r="O166" s="1194">
        <v>10</v>
      </c>
      <c r="P166" s="75"/>
      <c r="Q166" s="1075"/>
      <c r="R166" s="1075"/>
      <c r="V166" s="68"/>
    </row>
    <row r="167" spans="1:23" s="1" customFormat="1" ht="15.75" customHeight="1" x14ac:dyDescent="0.2">
      <c r="A167" s="1673"/>
      <c r="B167" s="1675"/>
      <c r="C167" s="1682"/>
      <c r="D167" s="1740"/>
      <c r="E167" s="188"/>
      <c r="F167" s="345"/>
      <c r="G167" s="58"/>
      <c r="H167" s="2618"/>
      <c r="I167" s="629" t="s">
        <v>313</v>
      </c>
      <c r="J167" s="1580">
        <v>50</v>
      </c>
      <c r="K167" s="1890"/>
      <c r="L167" s="245"/>
      <c r="M167" s="1287"/>
      <c r="N167" s="1527"/>
      <c r="O167" s="1406"/>
      <c r="P167" s="76"/>
      <c r="Q167" s="1295"/>
      <c r="R167" s="1295"/>
      <c r="V167" s="68"/>
      <c r="W167" s="68"/>
    </row>
    <row r="168" spans="1:23" s="1" customFormat="1" ht="15.75" customHeight="1" x14ac:dyDescent="0.2">
      <c r="A168" s="1673"/>
      <c r="B168" s="1675"/>
      <c r="C168" s="1682"/>
      <c r="D168" s="1741"/>
      <c r="E168" s="188"/>
      <c r="F168" s="157"/>
      <c r="G168" s="114"/>
      <c r="H168" s="1781"/>
      <c r="I168" s="370" t="s">
        <v>26</v>
      </c>
      <c r="J168" s="1591">
        <f>SUM(J166:J167)</f>
        <v>350</v>
      </c>
      <c r="K168" s="1858"/>
      <c r="L168" s="407"/>
      <c r="M168" s="919"/>
      <c r="N168" s="1528"/>
      <c r="O168" s="1407"/>
      <c r="P168" s="77"/>
      <c r="Q168" s="1071"/>
      <c r="R168" s="1071"/>
    </row>
    <row r="169" spans="1:23" s="1" customFormat="1" ht="17.25" customHeight="1" x14ac:dyDescent="0.2">
      <c r="A169" s="1673"/>
      <c r="B169" s="1675"/>
      <c r="C169" s="1682"/>
      <c r="D169" s="1740" t="s">
        <v>35</v>
      </c>
      <c r="E169" s="2354" t="s">
        <v>151</v>
      </c>
      <c r="F169" s="2357" t="s">
        <v>125</v>
      </c>
      <c r="G169" s="58">
        <v>5</v>
      </c>
      <c r="H169" s="2617" t="s">
        <v>353</v>
      </c>
      <c r="I169" s="369" t="s">
        <v>22</v>
      </c>
      <c r="J169" s="1951"/>
      <c r="K169" s="1945">
        <v>316</v>
      </c>
      <c r="L169" s="276"/>
      <c r="M169" s="1137"/>
      <c r="N169" s="1529" t="s">
        <v>69</v>
      </c>
      <c r="O169" s="1408">
        <v>90</v>
      </c>
      <c r="P169" s="1175">
        <v>100</v>
      </c>
      <c r="Q169" s="1210"/>
      <c r="R169" s="1210"/>
      <c r="T169" s="68"/>
    </row>
    <row r="170" spans="1:23" s="1" customFormat="1" ht="17.25" customHeight="1" x14ac:dyDescent="0.2">
      <c r="A170" s="2028"/>
      <c r="B170" s="2029"/>
      <c r="C170" s="2051"/>
      <c r="D170" s="1740"/>
      <c r="E170" s="2288"/>
      <c r="F170" s="2351"/>
      <c r="G170" s="58"/>
      <c r="H170" s="2618"/>
      <c r="I170" s="369" t="s">
        <v>313</v>
      </c>
      <c r="J170" s="1951">
        <v>461.5</v>
      </c>
      <c r="K170" s="1945">
        <v>77.5</v>
      </c>
      <c r="L170" s="276"/>
      <c r="M170" s="1137"/>
      <c r="N170" s="1529" t="s">
        <v>69</v>
      </c>
      <c r="O170" s="1408">
        <v>90</v>
      </c>
      <c r="P170" s="1175">
        <v>100</v>
      </c>
      <c r="Q170" s="1210"/>
      <c r="R170" s="1211"/>
      <c r="T170" s="68"/>
    </row>
    <row r="171" spans="1:23" s="1" customFormat="1" ht="17.25" customHeight="1" x14ac:dyDescent="0.2">
      <c r="A171" s="1673"/>
      <c r="B171" s="1675"/>
      <c r="C171" s="1682"/>
      <c r="D171" s="1740"/>
      <c r="E171" s="2288"/>
      <c r="F171" s="2351"/>
      <c r="G171" s="58"/>
      <c r="H171" s="2618"/>
      <c r="I171" s="17" t="s">
        <v>168</v>
      </c>
      <c r="J171" s="1951">
        <v>1806.7</v>
      </c>
      <c r="K171" s="1946">
        <v>373.1</v>
      </c>
      <c r="L171" s="276"/>
      <c r="M171" s="1137"/>
      <c r="N171" s="2355" t="s">
        <v>282</v>
      </c>
      <c r="O171" s="1409"/>
      <c r="P171" s="1212">
        <v>1</v>
      </c>
      <c r="Q171" s="1211"/>
      <c r="R171" s="1211"/>
    </row>
    <row r="172" spans="1:23" s="1" customFormat="1" ht="17.25" customHeight="1" x14ac:dyDescent="0.2">
      <c r="A172" s="1673"/>
      <c r="B172" s="1675"/>
      <c r="C172" s="1682"/>
      <c r="D172" s="1740"/>
      <c r="E172" s="2288"/>
      <c r="F172" s="2351"/>
      <c r="G172" s="1270"/>
      <c r="H172" s="2618"/>
      <c r="I172" s="1538" t="s">
        <v>180</v>
      </c>
      <c r="J172" s="1952">
        <v>88.2</v>
      </c>
      <c r="K172" s="1946"/>
      <c r="L172" s="276"/>
      <c r="M172" s="1137"/>
      <c r="N172" s="2356"/>
      <c r="O172" s="1419"/>
      <c r="P172" s="1189"/>
      <c r="Q172" s="1418"/>
      <c r="R172" s="1418"/>
    </row>
    <row r="173" spans="1:23" s="1" customFormat="1" ht="17.25" customHeight="1" x14ac:dyDescent="0.2">
      <c r="A173" s="1673"/>
      <c r="B173" s="1675"/>
      <c r="C173" s="1682"/>
      <c r="D173" s="1740"/>
      <c r="E173" s="1681"/>
      <c r="F173" s="1535"/>
      <c r="G173" s="1270"/>
      <c r="H173" s="151"/>
      <c r="I173" s="104" t="s">
        <v>164</v>
      </c>
      <c r="J173" s="1952">
        <v>5</v>
      </c>
      <c r="K173" s="1946"/>
      <c r="L173" s="245"/>
      <c r="M173" s="1287"/>
      <c r="N173" s="1536"/>
      <c r="O173" s="1419"/>
      <c r="P173" s="1189"/>
      <c r="Q173" s="1418"/>
      <c r="R173" s="1418"/>
    </row>
    <row r="174" spans="1:23" s="1" customFormat="1" ht="14.25" customHeight="1" x14ac:dyDescent="0.2">
      <c r="A174" s="1673"/>
      <c r="B174" s="1675"/>
      <c r="C174" s="1682"/>
      <c r="D174" s="1740"/>
      <c r="E174" s="1681"/>
      <c r="F174" s="1269" t="s">
        <v>66</v>
      </c>
      <c r="G174" s="1270"/>
      <c r="H174" s="151"/>
      <c r="I174" s="370" t="s">
        <v>26</v>
      </c>
      <c r="J174" s="1591">
        <f>SUM(J169:J173)</f>
        <v>2361.3999999999996</v>
      </c>
      <c r="K174" s="1858">
        <f>SUM(K169:K171)</f>
        <v>766.6</v>
      </c>
      <c r="L174" s="219"/>
      <c r="M174" s="919"/>
      <c r="N174" s="1536"/>
      <c r="O174" s="101"/>
      <c r="P174" s="77"/>
      <c r="Q174" s="1066"/>
      <c r="R174" s="1066"/>
    </row>
    <row r="175" spans="1:23" s="1" customFormat="1" ht="15" customHeight="1" thickBot="1" x14ac:dyDescent="0.25">
      <c r="A175" s="1685"/>
      <c r="B175" s="1686"/>
      <c r="C175" s="714"/>
      <c r="D175" s="1742"/>
      <c r="E175" s="2352" t="s">
        <v>34</v>
      </c>
      <c r="F175" s="2353"/>
      <c r="G175" s="2353"/>
      <c r="H175" s="2353"/>
      <c r="I175" s="2353"/>
      <c r="J175" s="1593">
        <f>J174+J168</f>
        <v>2711.3999999999996</v>
      </c>
      <c r="K175" s="1940">
        <f>K174+K168</f>
        <v>766.6</v>
      </c>
      <c r="L175" s="1206"/>
      <c r="M175" s="1574"/>
      <c r="N175" s="1530"/>
      <c r="O175" s="1410"/>
      <c r="P175" s="1275"/>
      <c r="Q175" s="1276"/>
      <c r="R175" s="1276"/>
    </row>
    <row r="176" spans="1:23" s="1" customFormat="1" ht="18" customHeight="1" x14ac:dyDescent="0.2">
      <c r="A176" s="1673" t="s">
        <v>15</v>
      </c>
      <c r="B176" s="1675" t="s">
        <v>41</v>
      </c>
      <c r="C176" s="202" t="s">
        <v>35</v>
      </c>
      <c r="D176" s="1754"/>
      <c r="E176" s="2349" t="s">
        <v>70</v>
      </c>
      <c r="F176" s="2350" t="s">
        <v>118</v>
      </c>
      <c r="G176" s="1670" t="s">
        <v>19</v>
      </c>
      <c r="H176" s="2617" t="s">
        <v>347</v>
      </c>
      <c r="I176" s="12" t="s">
        <v>46</v>
      </c>
      <c r="J176" s="1619">
        <v>1096.3</v>
      </c>
      <c r="K176" s="1897">
        <v>1123</v>
      </c>
      <c r="L176" s="246">
        <v>1134</v>
      </c>
      <c r="M176" s="1922"/>
      <c r="N176" s="1689"/>
      <c r="O176" s="101"/>
      <c r="P176" s="695"/>
      <c r="Q176" s="1066"/>
      <c r="R176" s="1066"/>
    </row>
    <row r="177" spans="1:25" s="1" customFormat="1" ht="18" customHeight="1" x14ac:dyDescent="0.2">
      <c r="A177" s="1673"/>
      <c r="B177" s="1675"/>
      <c r="C177" s="202"/>
      <c r="D177" s="1754"/>
      <c r="E177" s="2349"/>
      <c r="F177" s="2351"/>
      <c r="G177" s="1670"/>
      <c r="H177" s="2618"/>
      <c r="I177" s="12" t="s">
        <v>94</v>
      </c>
      <c r="J177" s="1594">
        <v>830.5</v>
      </c>
      <c r="K177" s="1904"/>
      <c r="L177" s="1547"/>
      <c r="M177" s="1930"/>
      <c r="N177" s="1689"/>
      <c r="O177" s="101"/>
      <c r="P177" s="695"/>
      <c r="Q177" s="1066"/>
      <c r="R177" s="1066"/>
    </row>
    <row r="178" spans="1:25" s="1" customFormat="1" ht="18" customHeight="1" x14ac:dyDescent="0.2">
      <c r="A178" s="1673"/>
      <c r="B178" s="1675"/>
      <c r="C178" s="202"/>
      <c r="D178" s="1754"/>
      <c r="E178" s="2349"/>
      <c r="F178" s="2351"/>
      <c r="G178" s="1670"/>
      <c r="H178" s="1763"/>
      <c r="I178" s="12" t="s">
        <v>37</v>
      </c>
      <c r="J178" s="1595">
        <v>6.6</v>
      </c>
      <c r="K178" s="1905">
        <v>6.6</v>
      </c>
      <c r="L178" s="442">
        <v>6.6</v>
      </c>
      <c r="M178" s="1953"/>
      <c r="N178" s="1689"/>
      <c r="O178" s="101"/>
      <c r="P178" s="695"/>
      <c r="Q178" s="1066"/>
      <c r="R178" s="1066"/>
    </row>
    <row r="179" spans="1:25" s="1" customFormat="1" ht="21" customHeight="1" x14ac:dyDescent="0.2">
      <c r="A179" s="1673"/>
      <c r="B179" s="1675"/>
      <c r="C179" s="202"/>
      <c r="D179" s="1760" t="s">
        <v>15</v>
      </c>
      <c r="E179" s="2291" t="s">
        <v>71</v>
      </c>
      <c r="F179" s="2351"/>
      <c r="G179" s="1670"/>
      <c r="H179" s="1763"/>
      <c r="I179" s="709"/>
      <c r="J179" s="1596"/>
      <c r="K179" s="1947"/>
      <c r="L179" s="224"/>
      <c r="M179" s="1954"/>
      <c r="N179" s="1190" t="s">
        <v>298</v>
      </c>
      <c r="O179" s="1411">
        <v>35</v>
      </c>
      <c r="P179" s="1129">
        <v>32</v>
      </c>
      <c r="Q179" s="1130">
        <v>30</v>
      </c>
      <c r="R179" s="1130">
        <v>30</v>
      </c>
      <c r="W179" s="68"/>
    </row>
    <row r="180" spans="1:25" s="1" customFormat="1" ht="21" customHeight="1" x14ac:dyDescent="0.2">
      <c r="A180" s="1673"/>
      <c r="B180" s="1675"/>
      <c r="C180" s="202"/>
      <c r="D180" s="1759"/>
      <c r="E180" s="2292"/>
      <c r="F180" s="1288"/>
      <c r="G180" s="1670"/>
      <c r="H180" s="1763"/>
      <c r="I180" s="709"/>
      <c r="J180" s="1596"/>
      <c r="K180" s="1947"/>
      <c r="L180" s="224"/>
      <c r="M180" s="1954"/>
      <c r="N180" s="1289"/>
      <c r="O180" s="1412"/>
      <c r="P180" s="1191"/>
      <c r="Q180" s="1168"/>
      <c r="R180" s="1168"/>
      <c r="X180" s="68"/>
      <c r="Y180" s="68"/>
    </row>
    <row r="181" spans="1:25" s="1" customFormat="1" ht="33.75" customHeight="1" x14ac:dyDescent="0.2">
      <c r="A181" s="1673"/>
      <c r="B181" s="1675"/>
      <c r="C181" s="202"/>
      <c r="D181" s="1754" t="s">
        <v>35</v>
      </c>
      <c r="E181" s="2291" t="s">
        <v>72</v>
      </c>
      <c r="F181" s="345"/>
      <c r="G181" s="1670"/>
      <c r="H181" s="1763"/>
      <c r="I181" s="709"/>
      <c r="J181" s="1596"/>
      <c r="K181" s="1947"/>
      <c r="L181" s="224"/>
      <c r="M181" s="1954"/>
      <c r="N181" s="2345" t="s">
        <v>108</v>
      </c>
      <c r="O181" s="135">
        <v>240</v>
      </c>
      <c r="P181" s="1129">
        <v>250</v>
      </c>
      <c r="Q181" s="1130">
        <v>260</v>
      </c>
      <c r="R181" s="1130">
        <v>260</v>
      </c>
      <c r="W181" s="68"/>
    </row>
    <row r="182" spans="1:25" s="1" customFormat="1" ht="33.75" customHeight="1" x14ac:dyDescent="0.2">
      <c r="A182" s="1673"/>
      <c r="B182" s="1675"/>
      <c r="C182" s="202"/>
      <c r="D182" s="1754"/>
      <c r="E182" s="2292"/>
      <c r="F182" s="159"/>
      <c r="G182" s="1670"/>
      <c r="H182" s="1763"/>
      <c r="I182" s="709"/>
      <c r="J182" s="1596"/>
      <c r="K182" s="1947"/>
      <c r="L182" s="224"/>
      <c r="M182" s="1954"/>
      <c r="N182" s="2347"/>
      <c r="O182" s="136"/>
      <c r="P182" s="1191"/>
      <c r="Q182" s="1168"/>
      <c r="R182" s="1168"/>
      <c r="W182" s="68"/>
    </row>
    <row r="183" spans="1:25" s="1" customFormat="1" ht="28.5" customHeight="1" x14ac:dyDescent="0.2">
      <c r="A183" s="1673"/>
      <c r="B183" s="1675"/>
      <c r="C183" s="202"/>
      <c r="D183" s="1760" t="s">
        <v>39</v>
      </c>
      <c r="E183" s="2291" t="s">
        <v>73</v>
      </c>
      <c r="F183" s="159"/>
      <c r="G183" s="1670"/>
      <c r="H183" s="1763"/>
      <c r="I183" s="709"/>
      <c r="J183" s="1596"/>
      <c r="K183" s="1947"/>
      <c r="L183" s="224"/>
      <c r="M183" s="1954"/>
      <c r="N183" s="2345" t="s">
        <v>109</v>
      </c>
      <c r="O183" s="135">
        <v>60</v>
      </c>
      <c r="P183" s="1129">
        <v>60</v>
      </c>
      <c r="Q183" s="1130">
        <v>60</v>
      </c>
      <c r="R183" s="1130">
        <v>60</v>
      </c>
      <c r="T183" s="68"/>
    </row>
    <row r="184" spans="1:25" s="1" customFormat="1" ht="28.5" customHeight="1" x14ac:dyDescent="0.2">
      <c r="A184" s="1673"/>
      <c r="B184" s="1675"/>
      <c r="C184" s="202"/>
      <c r="D184" s="1754"/>
      <c r="E184" s="2292"/>
      <c r="F184" s="159"/>
      <c r="G184" s="1670"/>
      <c r="H184" s="1763"/>
      <c r="I184" s="709"/>
      <c r="J184" s="1596"/>
      <c r="K184" s="1947"/>
      <c r="L184" s="224"/>
      <c r="M184" s="1954"/>
      <c r="N184" s="2346"/>
      <c r="O184" s="136"/>
      <c r="P184" s="1191"/>
      <c r="Q184" s="1168"/>
      <c r="R184" s="1168"/>
      <c r="T184" s="68"/>
    </row>
    <row r="185" spans="1:25" s="1" customFormat="1" ht="21" customHeight="1" x14ac:dyDescent="0.2">
      <c r="A185" s="1673"/>
      <c r="B185" s="1675"/>
      <c r="C185" s="202"/>
      <c r="D185" s="1754" t="s">
        <v>41</v>
      </c>
      <c r="E185" s="2291" t="s">
        <v>74</v>
      </c>
      <c r="F185" s="159"/>
      <c r="G185" s="1670"/>
      <c r="H185" s="1763"/>
      <c r="I185" s="709"/>
      <c r="J185" s="1596"/>
      <c r="K185" s="1947"/>
      <c r="L185" s="224"/>
      <c r="M185" s="1954"/>
      <c r="N185" s="2345" t="s">
        <v>75</v>
      </c>
      <c r="O185" s="135">
        <v>94</v>
      </c>
      <c r="P185" s="1129">
        <v>95</v>
      </c>
      <c r="Q185" s="1130">
        <v>95</v>
      </c>
      <c r="R185" s="1130">
        <v>95</v>
      </c>
    </row>
    <row r="186" spans="1:25" s="1" customFormat="1" ht="21" customHeight="1" x14ac:dyDescent="0.2">
      <c r="A186" s="1673"/>
      <c r="B186" s="1675"/>
      <c r="C186" s="202"/>
      <c r="D186" s="1754"/>
      <c r="E186" s="2292"/>
      <c r="F186" s="159"/>
      <c r="G186" s="1670"/>
      <c r="H186" s="1763"/>
      <c r="I186" s="709"/>
      <c r="J186" s="1596"/>
      <c r="K186" s="1947"/>
      <c r="L186" s="224"/>
      <c r="M186" s="1954"/>
      <c r="N186" s="2346"/>
      <c r="O186" s="136"/>
      <c r="P186" s="1191"/>
      <c r="Q186" s="1168"/>
      <c r="R186" s="1168"/>
    </row>
    <row r="187" spans="1:25" s="1" customFormat="1" ht="55.5" customHeight="1" x14ac:dyDescent="0.2">
      <c r="A187" s="1673"/>
      <c r="B187" s="1675"/>
      <c r="C187" s="202"/>
      <c r="D187" s="1762" t="s">
        <v>42</v>
      </c>
      <c r="E187" s="394" t="s">
        <v>76</v>
      </c>
      <c r="F187" s="345"/>
      <c r="G187" s="1670"/>
      <c r="H187" s="1763"/>
      <c r="I187" s="709"/>
      <c r="J187" s="1596"/>
      <c r="K187" s="1947"/>
      <c r="L187" s="224"/>
      <c r="M187" s="1954"/>
      <c r="N187" s="1031" t="s">
        <v>224</v>
      </c>
      <c r="O187" s="102">
        <v>12</v>
      </c>
      <c r="P187" s="1085">
        <v>12</v>
      </c>
      <c r="Q187" s="1078">
        <v>12</v>
      </c>
      <c r="R187" s="1078">
        <v>12</v>
      </c>
    </row>
    <row r="188" spans="1:25" s="1" customFormat="1" ht="22.5" customHeight="1" x14ac:dyDescent="0.2">
      <c r="A188" s="1673"/>
      <c r="B188" s="1675"/>
      <c r="C188" s="202"/>
      <c r="D188" s="1754" t="s">
        <v>60</v>
      </c>
      <c r="E188" s="2293" t="s">
        <v>77</v>
      </c>
      <c r="F188" s="159"/>
      <c r="G188" s="1670"/>
      <c r="H188" s="1763"/>
      <c r="I188" s="709"/>
      <c r="J188" s="1596"/>
      <c r="K188" s="1947"/>
      <c r="L188" s="224"/>
      <c r="M188" s="1954"/>
      <c r="N188" s="2347" t="s">
        <v>78</v>
      </c>
      <c r="O188" s="136">
        <v>100</v>
      </c>
      <c r="P188" s="1191">
        <v>100</v>
      </c>
      <c r="Q188" s="1168">
        <v>100</v>
      </c>
      <c r="R188" s="1168">
        <v>100</v>
      </c>
    </row>
    <row r="189" spans="1:25" s="1" customFormat="1" ht="22.5" customHeight="1" x14ac:dyDescent="0.2">
      <c r="A189" s="579"/>
      <c r="B189" s="1675"/>
      <c r="C189" s="202"/>
      <c r="D189" s="1754"/>
      <c r="E189" s="2293"/>
      <c r="F189" s="159"/>
      <c r="G189" s="1670"/>
      <c r="H189" s="1763"/>
      <c r="I189" s="709"/>
      <c r="J189" s="1596"/>
      <c r="K189" s="1947"/>
      <c r="L189" s="224"/>
      <c r="M189" s="1954"/>
      <c r="N189" s="2347"/>
      <c r="O189" s="136"/>
      <c r="P189" s="1191"/>
      <c r="Q189" s="1168"/>
      <c r="R189" s="1168"/>
    </row>
    <row r="190" spans="1:25" s="1" customFormat="1" ht="13.5" customHeight="1" thickBot="1" x14ac:dyDescent="0.25">
      <c r="A190" s="580" t="s">
        <v>131</v>
      </c>
      <c r="B190" s="1686"/>
      <c r="C190" s="203"/>
      <c r="D190" s="1756"/>
      <c r="E190" s="2294"/>
      <c r="F190" s="160"/>
      <c r="G190" s="1671"/>
      <c r="H190" s="1766"/>
      <c r="I190" s="367" t="s">
        <v>26</v>
      </c>
      <c r="J190" s="1597">
        <f>SUM(J176:J188)</f>
        <v>1933.3999999999999</v>
      </c>
      <c r="K190" s="839">
        <f t="shared" ref="K190" si="13">SUM(K176:K188)</f>
        <v>1129.5999999999999</v>
      </c>
      <c r="L190" s="223">
        <f>SUM(L176:L188)</f>
        <v>1140.5999999999999</v>
      </c>
      <c r="M190" s="381">
        <f>SUM(M176:M188)</f>
        <v>0</v>
      </c>
      <c r="N190" s="2348"/>
      <c r="O190" s="373"/>
      <c r="P190" s="1192"/>
      <c r="Q190" s="1193"/>
      <c r="R190" s="1193"/>
    </row>
    <row r="191" spans="1:25" s="1" customFormat="1" ht="52.5" customHeight="1" x14ac:dyDescent="0.2">
      <c r="A191" s="1672" t="s">
        <v>15</v>
      </c>
      <c r="B191" s="1674" t="s">
        <v>41</v>
      </c>
      <c r="C191" s="1747" t="s">
        <v>39</v>
      </c>
      <c r="D191" s="1744"/>
      <c r="E191" s="72" t="s">
        <v>79</v>
      </c>
      <c r="F191" s="158"/>
      <c r="G191" s="73"/>
      <c r="H191" s="151"/>
      <c r="I191" s="193"/>
      <c r="J191" s="1589"/>
      <c r="K191" s="1903"/>
      <c r="L191" s="275"/>
      <c r="M191" s="1929"/>
      <c r="N191" s="192"/>
      <c r="O191" s="1702"/>
      <c r="P191" s="1699"/>
      <c r="Q191" s="1072"/>
      <c r="R191" s="1072"/>
    </row>
    <row r="192" spans="1:25" s="1" customFormat="1" ht="27.75" customHeight="1" x14ac:dyDescent="0.2">
      <c r="A192" s="1673"/>
      <c r="B192" s="1675"/>
      <c r="C192" s="1682"/>
      <c r="D192" s="1745" t="s">
        <v>15</v>
      </c>
      <c r="E192" s="2330" t="s">
        <v>160</v>
      </c>
      <c r="F192" s="345"/>
      <c r="G192" s="73">
        <v>1</v>
      </c>
      <c r="H192" s="377" t="s">
        <v>360</v>
      </c>
      <c r="I192" s="369" t="s">
        <v>37</v>
      </c>
      <c r="J192" s="1592">
        <v>50</v>
      </c>
      <c r="K192" s="1857"/>
      <c r="L192" s="276"/>
      <c r="M192" s="1137"/>
      <c r="N192" s="1693" t="s">
        <v>243</v>
      </c>
      <c r="O192" s="1194">
        <v>1</v>
      </c>
      <c r="P192" s="75"/>
      <c r="Q192" s="1075"/>
      <c r="R192" s="1075"/>
      <c r="X192" s="68"/>
    </row>
    <row r="193" spans="1:20" s="1" customFormat="1" ht="15" customHeight="1" thickBot="1" x14ac:dyDescent="0.25">
      <c r="A193" s="1673"/>
      <c r="B193" s="1675"/>
      <c r="C193" s="1682"/>
      <c r="D193" s="1742"/>
      <c r="E193" s="2331"/>
      <c r="F193" s="157"/>
      <c r="G193" s="114"/>
      <c r="H193" s="151"/>
      <c r="I193" s="370" t="s">
        <v>26</v>
      </c>
      <c r="J193" s="1591">
        <f>SUM(J192:J192)</f>
        <v>50</v>
      </c>
      <c r="K193" s="1858">
        <f>SUM(K192:K192)</f>
        <v>0</v>
      </c>
      <c r="L193" s="219"/>
      <c r="M193" s="919"/>
      <c r="N193" s="1711"/>
      <c r="O193" s="1410"/>
      <c r="P193" s="1195"/>
      <c r="Q193" s="1196"/>
      <c r="R193" s="1196"/>
    </row>
    <row r="194" spans="1:20" s="2" customFormat="1" ht="16.5" customHeight="1" thickBot="1" x14ac:dyDescent="0.3">
      <c r="A194" s="577" t="s">
        <v>15</v>
      </c>
      <c r="B194" s="5" t="s">
        <v>41</v>
      </c>
      <c r="C194" s="2332" t="s">
        <v>43</v>
      </c>
      <c r="D194" s="2332"/>
      <c r="E194" s="2332"/>
      <c r="F194" s="2332"/>
      <c r="G194" s="2332"/>
      <c r="H194" s="2332"/>
      <c r="I194" s="2332"/>
      <c r="J194" s="1598">
        <f>+J193+J190+J175</f>
        <v>4694.7999999999993</v>
      </c>
      <c r="K194" s="1948">
        <f>+K193+K190+K175</f>
        <v>1896.1999999999998</v>
      </c>
      <c r="L194" s="473">
        <f>+L193+L190+L175</f>
        <v>1140.5999999999999</v>
      </c>
      <c r="M194" s="1261">
        <f>+M193+M190+M175</f>
        <v>0</v>
      </c>
      <c r="N194" s="2333"/>
      <c r="O194" s="2334"/>
      <c r="P194" s="2334"/>
      <c r="Q194" s="2334"/>
      <c r="R194" s="2335"/>
    </row>
    <row r="195" spans="1:20" s="1" customFormat="1" ht="16.5" customHeight="1" thickBot="1" x14ac:dyDescent="0.25">
      <c r="A195" s="1685" t="s">
        <v>15</v>
      </c>
      <c r="B195" s="584"/>
      <c r="C195" s="2336" t="s">
        <v>80</v>
      </c>
      <c r="D195" s="2336"/>
      <c r="E195" s="2336"/>
      <c r="F195" s="2336"/>
      <c r="G195" s="2336"/>
      <c r="H195" s="2336"/>
      <c r="I195" s="2336"/>
      <c r="J195" s="1599">
        <f>J194+J163+J145+J50</f>
        <v>50176.800000000003</v>
      </c>
      <c r="K195" s="1949">
        <f>K194+K163+K145+K50</f>
        <v>46029.2</v>
      </c>
      <c r="L195" s="589">
        <f>L194+L163+L145+L50</f>
        <v>45742.5</v>
      </c>
      <c r="M195" s="1262">
        <f>M194+M163+M145+M50</f>
        <v>0</v>
      </c>
      <c r="N195" s="2337"/>
      <c r="O195" s="2338"/>
      <c r="P195" s="2338"/>
      <c r="Q195" s="2338"/>
      <c r="R195" s="2339"/>
    </row>
    <row r="196" spans="1:20" s="2" customFormat="1" ht="16.5" customHeight="1" thickBot="1" x14ac:dyDescent="0.3">
      <c r="A196" s="586" t="s">
        <v>81</v>
      </c>
      <c r="B196" s="2340" t="s">
        <v>82</v>
      </c>
      <c r="C196" s="2341"/>
      <c r="D196" s="2341"/>
      <c r="E196" s="2341"/>
      <c r="F196" s="2341"/>
      <c r="G196" s="2341"/>
      <c r="H196" s="2341"/>
      <c r="I196" s="2341"/>
      <c r="J196" s="1600">
        <f t="shared" ref="J196:L196" si="14">J195</f>
        <v>50176.800000000003</v>
      </c>
      <c r="K196" s="1950">
        <f t="shared" si="14"/>
        <v>46029.2</v>
      </c>
      <c r="L196" s="592">
        <f t="shared" si="14"/>
        <v>45742.5</v>
      </c>
      <c r="M196" s="1263">
        <f t="shared" ref="M196" si="15">M195</f>
        <v>0</v>
      </c>
      <c r="N196" s="2342"/>
      <c r="O196" s="2343"/>
      <c r="P196" s="2343"/>
      <c r="Q196" s="2343"/>
      <c r="R196" s="2344"/>
    </row>
    <row r="197" spans="1:20" s="2" customFormat="1" ht="16.5" customHeight="1" x14ac:dyDescent="0.25">
      <c r="A197" s="2621" t="s">
        <v>358</v>
      </c>
      <c r="B197" s="2621"/>
      <c r="C197" s="2621"/>
      <c r="D197" s="2621"/>
      <c r="E197" s="2621"/>
      <c r="F197" s="2621"/>
      <c r="G197" s="2621"/>
      <c r="H197" s="2621"/>
      <c r="I197" s="2621"/>
      <c r="J197" s="2621"/>
      <c r="K197" s="2621"/>
      <c r="L197" s="2621"/>
      <c r="M197" s="2621"/>
      <c r="N197" s="2621"/>
      <c r="O197" s="2621"/>
      <c r="P197" s="2621"/>
      <c r="Q197" s="2621"/>
      <c r="R197" s="2621"/>
    </row>
    <row r="198" spans="1:20" s="68" customFormat="1" ht="21.75" customHeight="1" thickBot="1" x14ac:dyDescent="0.25">
      <c r="A198" s="2317" t="s">
        <v>83</v>
      </c>
      <c r="B198" s="2317"/>
      <c r="C198" s="2317"/>
      <c r="D198" s="2317"/>
      <c r="E198" s="2317"/>
      <c r="F198" s="2317"/>
      <c r="G198" s="2317"/>
      <c r="H198" s="2317"/>
      <c r="I198" s="2317"/>
      <c r="J198" s="2317"/>
      <c r="K198" s="2317"/>
      <c r="L198" s="2317"/>
      <c r="M198" s="2317"/>
      <c r="N198" s="86"/>
      <c r="O198" s="166"/>
      <c r="P198" s="166"/>
      <c r="Q198" s="166"/>
      <c r="R198" s="166"/>
    </row>
    <row r="199" spans="1:20" s="45" customFormat="1" ht="52.5" customHeight="1" thickBot="1" x14ac:dyDescent="0.3">
      <c r="A199" s="2318" t="s">
        <v>84</v>
      </c>
      <c r="B199" s="2319"/>
      <c r="C199" s="2319"/>
      <c r="D199" s="2319"/>
      <c r="E199" s="2319"/>
      <c r="F199" s="2319"/>
      <c r="G199" s="2319"/>
      <c r="H199" s="2320"/>
      <c r="I199" s="2320"/>
      <c r="J199" s="1965" t="s">
        <v>359</v>
      </c>
      <c r="K199" s="1955" t="s">
        <v>185</v>
      </c>
      <c r="L199" s="1970" t="s">
        <v>301</v>
      </c>
      <c r="M199" s="1975" t="s">
        <v>356</v>
      </c>
      <c r="N199" s="1662"/>
      <c r="O199" s="2321"/>
      <c r="P199" s="2321"/>
      <c r="Q199" s="2321"/>
      <c r="R199" s="2321"/>
      <c r="T199" s="48"/>
    </row>
    <row r="200" spans="1:20" s="2" customFormat="1" ht="15.75" customHeight="1" thickBot="1" x14ac:dyDescent="0.3">
      <c r="A200" s="2305" t="s">
        <v>85</v>
      </c>
      <c r="B200" s="2306"/>
      <c r="C200" s="2306"/>
      <c r="D200" s="2306"/>
      <c r="E200" s="2306"/>
      <c r="F200" s="2306"/>
      <c r="G200" s="2306"/>
      <c r="H200" s="2307"/>
      <c r="I200" s="2307"/>
      <c r="J200" s="1524">
        <f>+J201+J208+J210+J211+J212+J209</f>
        <v>23020.9</v>
      </c>
      <c r="K200" s="1956">
        <f t="shared" ref="K200:L200" si="16">+K201+K208+K210+K211+K212</f>
        <v>19068</v>
      </c>
      <c r="L200" s="588">
        <f t="shared" si="16"/>
        <v>18778.300000000003</v>
      </c>
      <c r="M200" s="829">
        <f t="shared" ref="M200" si="17">+M201+M208+M210+M211+M212</f>
        <v>0</v>
      </c>
      <c r="N200" s="1653"/>
      <c r="O200" s="2279"/>
      <c r="P200" s="2279"/>
      <c r="Q200" s="2279"/>
      <c r="R200" s="2279"/>
    </row>
    <row r="201" spans="1:20" s="2" customFormat="1" ht="15.75" customHeight="1" x14ac:dyDescent="0.25">
      <c r="A201" s="2326" t="s">
        <v>338</v>
      </c>
      <c r="B201" s="2327"/>
      <c r="C201" s="2327"/>
      <c r="D201" s="2327"/>
      <c r="E201" s="2327"/>
      <c r="F201" s="2327"/>
      <c r="G201" s="2327"/>
      <c r="H201" s="2327"/>
      <c r="I201" s="2328"/>
      <c r="J201" s="1966">
        <f>SUM(J202:J207)</f>
        <v>20281.900000000001</v>
      </c>
      <c r="K201" s="1957">
        <f t="shared" ref="K201:L201" si="18">SUM(K202:K207)</f>
        <v>18990.5</v>
      </c>
      <c r="L201" s="1971">
        <f t="shared" si="18"/>
        <v>18778.300000000003</v>
      </c>
      <c r="M201" s="1976">
        <f t="shared" ref="M201" si="19">SUM(M202:M207)</f>
        <v>0</v>
      </c>
      <c r="N201" s="1653"/>
      <c r="O201" s="1653"/>
      <c r="P201" s="1653"/>
      <c r="Q201" s="1653"/>
      <c r="R201" s="1653"/>
    </row>
    <row r="202" spans="1:20" s="2" customFormat="1" ht="15.75" customHeight="1" x14ac:dyDescent="0.25">
      <c r="A202" s="2322" t="s">
        <v>86</v>
      </c>
      <c r="B202" s="2323"/>
      <c r="C202" s="2323"/>
      <c r="D202" s="2323"/>
      <c r="E202" s="2323"/>
      <c r="F202" s="2323"/>
      <c r="G202" s="2323"/>
      <c r="H202" s="2324"/>
      <c r="I202" s="2324"/>
      <c r="J202" s="1580">
        <f>SUMIF(I13:I192,"sb",J13:J192)</f>
        <v>10532</v>
      </c>
      <c r="K202" s="1891">
        <f>SUMIF(I13:I190,"sb",K13:K190)</f>
        <v>10558.8</v>
      </c>
      <c r="L202" s="1352">
        <f>SUMIF(I13:I190,"sb",L13:L190)</f>
        <v>11042.200000000003</v>
      </c>
      <c r="M202" s="1321">
        <f>SUMIF(J13:J190,"sb",M13:M190)</f>
        <v>0</v>
      </c>
      <c r="N202" s="1663"/>
      <c r="O202" s="2325"/>
      <c r="P202" s="2325"/>
      <c r="Q202" s="2325"/>
      <c r="R202" s="2325"/>
    </row>
    <row r="203" spans="1:20" s="2" customFormat="1" ht="15.75" customHeight="1" x14ac:dyDescent="0.25">
      <c r="A203" s="2311" t="s">
        <v>309</v>
      </c>
      <c r="B203" s="2312"/>
      <c r="C203" s="2312"/>
      <c r="D203" s="2312"/>
      <c r="E203" s="2312"/>
      <c r="F203" s="2312"/>
      <c r="G203" s="2312"/>
      <c r="H203" s="2312"/>
      <c r="I203" s="2313"/>
      <c r="J203" s="1581">
        <f>SUMIF(I13:I192,"sb(f)",J13:J192)</f>
        <v>300</v>
      </c>
      <c r="K203" s="1958">
        <f>SUMIF(I14:I193,"sb(f)",K14:K193)</f>
        <v>0</v>
      </c>
      <c r="L203" s="283">
        <f>SUMIF(I14:I193,"sb(f)",L14:L193)</f>
        <v>0</v>
      </c>
      <c r="M203" s="351">
        <f>SUMIF(J14:J193,"sb(f)",M14:M193)</f>
        <v>0</v>
      </c>
      <c r="N203" s="1663"/>
      <c r="O203" s="1663"/>
      <c r="P203" s="1663"/>
      <c r="Q203" s="1663"/>
      <c r="R203" s="1663"/>
    </row>
    <row r="204" spans="1:20" s="2" customFormat="1" ht="15.75" customHeight="1" x14ac:dyDescent="0.25">
      <c r="A204" s="2311" t="s">
        <v>244</v>
      </c>
      <c r="B204" s="2312"/>
      <c r="C204" s="2312"/>
      <c r="D204" s="2312"/>
      <c r="E204" s="2312"/>
      <c r="F204" s="2312"/>
      <c r="G204" s="2312"/>
      <c r="H204" s="2312"/>
      <c r="I204" s="2312"/>
      <c r="J204" s="1581">
        <f>SUMIF(I13:I192,"sb(es)",J13:J192)</f>
        <v>2755.1000000000004</v>
      </c>
      <c r="K204" s="1958">
        <f>SUMIF(I18:I194,"sb(es)",K18:K194)</f>
        <v>707.1</v>
      </c>
      <c r="L204" s="283">
        <f>SUMIF(I18:I194,"sb(es)",L18:L194)</f>
        <v>91.5</v>
      </c>
      <c r="M204" s="351">
        <f>SUMIF(J18:J194,"sb(es)",M18:M194)</f>
        <v>0</v>
      </c>
      <c r="N204" s="1661"/>
      <c r="O204" s="1661"/>
      <c r="P204" s="1661"/>
      <c r="Q204" s="1661"/>
      <c r="R204" s="1661"/>
    </row>
    <row r="205" spans="1:20" s="2" customFormat="1" ht="30.75" customHeight="1" x14ac:dyDescent="0.25">
      <c r="A205" s="2311" t="s">
        <v>227</v>
      </c>
      <c r="B205" s="2312"/>
      <c r="C205" s="2312"/>
      <c r="D205" s="2312"/>
      <c r="E205" s="2312"/>
      <c r="F205" s="2312"/>
      <c r="G205" s="2312"/>
      <c r="H205" s="2312"/>
      <c r="I205" s="2312"/>
      <c r="J205" s="1581">
        <f>SUMIF(I13:I192,"SB(esa)",J13:J192)</f>
        <v>40.6</v>
      </c>
      <c r="K205" s="1958">
        <f>SUMIF(I15:I193,"SB(esa)",K15:K193)</f>
        <v>0</v>
      </c>
      <c r="L205" s="283">
        <f>SUMIF(I15:I193,"SB(esa)",L15:L193)</f>
        <v>0</v>
      </c>
      <c r="M205" s="351">
        <f>SUMIF(J15:J193,"SB(esa)",M15:M193)</f>
        <v>0</v>
      </c>
      <c r="N205" s="1661"/>
      <c r="O205" s="1661"/>
      <c r="P205" s="1661"/>
      <c r="Q205" s="1661"/>
      <c r="R205" s="1661"/>
    </row>
    <row r="206" spans="1:20" s="2" customFormat="1" ht="15.75" customHeight="1" x14ac:dyDescent="0.25">
      <c r="A206" s="2295" t="s">
        <v>87</v>
      </c>
      <c r="B206" s="2296"/>
      <c r="C206" s="2296"/>
      <c r="D206" s="2296"/>
      <c r="E206" s="2296"/>
      <c r="F206" s="2296"/>
      <c r="G206" s="2296"/>
      <c r="H206" s="2297"/>
      <c r="I206" s="2297"/>
      <c r="J206" s="1586">
        <f>SUMIF(I13:I192,"sb(sp)",J13:J192)</f>
        <v>1743.1999999999998</v>
      </c>
      <c r="K206" s="1958">
        <f>SUMIF(I13:I190,"sb(sp)",K13:K190)</f>
        <v>1782.9</v>
      </c>
      <c r="L206" s="283">
        <f>SUMIF(I13:I190,"sb(sp)",L13:L190)</f>
        <v>1803.3</v>
      </c>
      <c r="M206" s="351">
        <f>SUMIF(J13:J190,"sb(sp)",M13:M190)</f>
        <v>0</v>
      </c>
      <c r="N206" s="1663"/>
      <c r="O206" s="2301"/>
      <c r="P206" s="2301"/>
      <c r="Q206" s="2301"/>
      <c r="R206" s="2301"/>
    </row>
    <row r="207" spans="1:20" s="2" customFormat="1" ht="15" customHeight="1" x14ac:dyDescent="0.25">
      <c r="A207" s="2295" t="s">
        <v>88</v>
      </c>
      <c r="B207" s="2296"/>
      <c r="C207" s="2296"/>
      <c r="D207" s="2296"/>
      <c r="E207" s="2296"/>
      <c r="F207" s="2296"/>
      <c r="G207" s="2296"/>
      <c r="H207" s="2297"/>
      <c r="I207" s="2297"/>
      <c r="J207" s="1581">
        <f>SUMIF(I13:I192,"sb(vb)",J13:J192)</f>
        <v>4911.0000000000009</v>
      </c>
      <c r="K207" s="1958">
        <f>SUMIF(I13:I190,"sb(vb)",K13:K190)</f>
        <v>5941.7</v>
      </c>
      <c r="L207" s="283">
        <f>SUMIF(I13:I190,"sb(vb)",L13:L190)</f>
        <v>5841.3</v>
      </c>
      <c r="M207" s="351">
        <f>SUMIF(J13:J190,"sb(vb)",M13:M190)</f>
        <v>0</v>
      </c>
      <c r="N207" s="1661"/>
      <c r="O207" s="2301"/>
      <c r="P207" s="2301"/>
      <c r="Q207" s="2301"/>
      <c r="R207" s="2301"/>
    </row>
    <row r="208" spans="1:20" s="2" customFormat="1" ht="15.75" customHeight="1" x14ac:dyDescent="0.25">
      <c r="A208" s="2308" t="s">
        <v>165</v>
      </c>
      <c r="B208" s="2309"/>
      <c r="C208" s="2309"/>
      <c r="D208" s="2309"/>
      <c r="E208" s="2309"/>
      <c r="F208" s="2309"/>
      <c r="G208" s="2309"/>
      <c r="H208" s="2310"/>
      <c r="I208" s="2310"/>
      <c r="J208" s="1583">
        <f>SUMIF(I13:I192,"sb(l)",J13:J192)</f>
        <v>926.5</v>
      </c>
      <c r="K208" s="1959">
        <f>SUMIF(I13:I192,"sb(l)",K13:K192)</f>
        <v>0</v>
      </c>
      <c r="L208" s="1539">
        <f>SUMIF(I13:I192,"sb(l)",L13:L192)</f>
        <v>0</v>
      </c>
      <c r="M208" s="1977">
        <f>SUMIF(J13:J192,"sb(l)",M13:M192)</f>
        <v>0</v>
      </c>
      <c r="N208" s="1663"/>
      <c r="O208" s="1663"/>
      <c r="P208" s="1663"/>
      <c r="Q208" s="1663"/>
      <c r="R208" s="1663"/>
    </row>
    <row r="209" spans="1:24" s="2" customFormat="1" ht="15.75" customHeight="1" x14ac:dyDescent="0.25">
      <c r="A209" s="2314" t="s">
        <v>342</v>
      </c>
      <c r="B209" s="2315"/>
      <c r="C209" s="2315"/>
      <c r="D209" s="2315"/>
      <c r="E209" s="2315"/>
      <c r="F209" s="2315"/>
      <c r="G209" s="2315"/>
      <c r="H209" s="2315"/>
      <c r="I209" s="2329"/>
      <c r="J209" s="1583">
        <f>SUMIF(I14:I193,"sb(spl)",J14:J193)</f>
        <v>891.4</v>
      </c>
      <c r="K209" s="1959"/>
      <c r="L209" s="1539"/>
      <c r="M209" s="1977"/>
      <c r="N209" s="1663"/>
      <c r="O209" s="1663"/>
      <c r="P209" s="1663"/>
      <c r="Q209" s="1663"/>
      <c r="R209" s="1663"/>
    </row>
    <row r="210" spans="1:24" s="2" customFormat="1" ht="15.75" customHeight="1" x14ac:dyDescent="0.25">
      <c r="A210" s="2308" t="s">
        <v>336</v>
      </c>
      <c r="B210" s="2309"/>
      <c r="C210" s="2309"/>
      <c r="D210" s="2309"/>
      <c r="E210" s="2309"/>
      <c r="F210" s="2309"/>
      <c r="G210" s="2309"/>
      <c r="H210" s="2310"/>
      <c r="I210" s="2310"/>
      <c r="J210" s="1583">
        <f>SUMIF(I14:I193,"sb(vbl)",J14:J193)</f>
        <v>34.6</v>
      </c>
      <c r="K210" s="1959">
        <f>SUMIF(I14:I193,"sb(vbl)",K14:K193)</f>
        <v>0</v>
      </c>
      <c r="L210" s="1539">
        <f>SUMIF(I14:I193,"sb(vbl)",L14:L193)</f>
        <v>0</v>
      </c>
      <c r="M210" s="1977">
        <f>SUMIF(J14:J193,"sb(vbl)",M14:M193)</f>
        <v>0</v>
      </c>
      <c r="N210" s="1661"/>
      <c r="O210" s="1661"/>
      <c r="P210" s="1661"/>
      <c r="Q210" s="1661"/>
      <c r="R210" s="1661"/>
    </row>
    <row r="211" spans="1:24" s="2" customFormat="1" ht="15.75" customHeight="1" x14ac:dyDescent="0.25">
      <c r="A211" s="2314" t="s">
        <v>324</v>
      </c>
      <c r="B211" s="2315"/>
      <c r="C211" s="2315"/>
      <c r="D211" s="2315"/>
      <c r="E211" s="2315"/>
      <c r="F211" s="2315"/>
      <c r="G211" s="2315"/>
      <c r="H211" s="2315"/>
      <c r="I211" s="2316"/>
      <c r="J211" s="1583">
        <f>SUMIF(I14:I193,"sb(fl)",J14:J193)</f>
        <v>511.5</v>
      </c>
      <c r="K211" s="1959">
        <f>SUMIF(I15:I194,"sb(fl)",K15:K194)</f>
        <v>77.5</v>
      </c>
      <c r="L211" s="1539">
        <f>SUMIF(I15:I194,"sb(fl)",L15:L194)</f>
        <v>0</v>
      </c>
      <c r="M211" s="1977">
        <f>SUMIF(J15:J194,"sb(fl)",M15:M194)</f>
        <v>0</v>
      </c>
      <c r="N211" s="1663"/>
      <c r="O211" s="1663"/>
      <c r="P211" s="1663"/>
      <c r="Q211" s="1663"/>
      <c r="R211" s="1663"/>
    </row>
    <row r="212" spans="1:24" s="2" customFormat="1" ht="15.75" customHeight="1" thickBot="1" x14ac:dyDescent="0.3">
      <c r="A212" s="2273" t="s">
        <v>337</v>
      </c>
      <c r="B212" s="2274"/>
      <c r="C212" s="2274"/>
      <c r="D212" s="2274"/>
      <c r="E212" s="2274"/>
      <c r="F212" s="2274"/>
      <c r="G212" s="2274"/>
      <c r="H212" s="2275"/>
      <c r="I212" s="2275"/>
      <c r="J212" s="1967">
        <f>SUMIF(I15:I194,"sb(esl)",J15:J194)</f>
        <v>375</v>
      </c>
      <c r="K212" s="1960">
        <f>SUMIF(I13:I192,"sb(esl)",K13:K192)</f>
        <v>0</v>
      </c>
      <c r="L212" s="1972">
        <f>SUMIF(I13:I192,"sb(esl)",L13:L192)</f>
        <v>0</v>
      </c>
      <c r="M212" s="1978">
        <f>SUMIF(J13:J192,"sb(esl)",M13:M192)</f>
        <v>0</v>
      </c>
      <c r="N212" s="1661"/>
      <c r="O212" s="1661"/>
      <c r="P212" s="1661"/>
      <c r="Q212" s="1661"/>
      <c r="R212" s="1661"/>
    </row>
    <row r="213" spans="1:24" s="2" customFormat="1" ht="15.75" customHeight="1" thickBot="1" x14ac:dyDescent="0.3">
      <c r="A213" s="2305" t="s">
        <v>89</v>
      </c>
      <c r="B213" s="2306"/>
      <c r="C213" s="2306"/>
      <c r="D213" s="2306"/>
      <c r="E213" s="2306"/>
      <c r="F213" s="2306"/>
      <c r="G213" s="2306"/>
      <c r="H213" s="2307"/>
      <c r="I213" s="2307"/>
      <c r="J213" s="1524">
        <f>SUM(J214:J216)</f>
        <v>27155.899999999998</v>
      </c>
      <c r="K213" s="1961">
        <f t="shared" ref="K213:L213" si="20">SUM(K214:K216)</f>
        <v>26961.199999999997</v>
      </c>
      <c r="L213" s="1956">
        <f t="shared" si="20"/>
        <v>26964.199999999997</v>
      </c>
      <c r="M213" s="829">
        <f t="shared" ref="M213" si="21">SUM(M214:M216)</f>
        <v>0</v>
      </c>
      <c r="N213" s="1661"/>
      <c r="O213" s="1661"/>
      <c r="P213" s="1661"/>
      <c r="Q213" s="1661"/>
      <c r="R213" s="1661"/>
    </row>
    <row r="214" spans="1:24" s="2" customFormat="1" ht="15.75" customHeight="1" x14ac:dyDescent="0.25">
      <c r="A214" s="2295" t="s">
        <v>145</v>
      </c>
      <c r="B214" s="2296"/>
      <c r="C214" s="2296"/>
      <c r="D214" s="2296"/>
      <c r="E214" s="2296"/>
      <c r="F214" s="2296"/>
      <c r="G214" s="2296"/>
      <c r="H214" s="2297"/>
      <c r="I214" s="2297"/>
      <c r="J214" s="1968">
        <f>SUMIF(I13:I192,"es",J13:J192)</f>
        <v>103.2</v>
      </c>
      <c r="K214" s="1962">
        <f>SUMIF(I13:I190,"es",K13:K190)</f>
        <v>0</v>
      </c>
      <c r="L214" s="1973">
        <f>SUMIF(I13:I190,"es",L13:L190)</f>
        <v>0</v>
      </c>
      <c r="M214" s="1979">
        <f>SUMIF(J13:J190,"es",M13:M190)</f>
        <v>0</v>
      </c>
      <c r="N214" s="143"/>
      <c r="O214" s="2279"/>
      <c r="P214" s="2279"/>
      <c r="Q214" s="2279"/>
      <c r="R214" s="2279"/>
    </row>
    <row r="215" spans="1:24" s="2" customFormat="1" ht="15.75" customHeight="1" x14ac:dyDescent="0.25">
      <c r="A215" s="2298" t="s">
        <v>90</v>
      </c>
      <c r="B215" s="2299"/>
      <c r="C215" s="2299"/>
      <c r="D215" s="2299"/>
      <c r="E215" s="2299"/>
      <c r="F215" s="2299"/>
      <c r="G215" s="2299"/>
      <c r="H215" s="2300"/>
      <c r="I215" s="2300"/>
      <c r="J215" s="1586">
        <f>SUMIF(I13:I192,"lrvb",J13:J192)</f>
        <v>27047.699999999997</v>
      </c>
      <c r="K215" s="1963">
        <f>SUMIF(I13:I190,"lrvb",K13:K190)</f>
        <v>26955.199999999997</v>
      </c>
      <c r="L215" s="994">
        <f>SUMIF(I13:I190,"lrvb",L13:L190)</f>
        <v>26957.199999999997</v>
      </c>
      <c r="M215" s="1980">
        <f>SUMIF(J13:J190,"lrvb",M13:M190)</f>
        <v>0</v>
      </c>
      <c r="N215" s="87"/>
      <c r="O215" s="2301"/>
      <c r="P215" s="2301"/>
      <c r="Q215" s="2301"/>
      <c r="R215" s="2301"/>
    </row>
    <row r="216" spans="1:24" s="2" customFormat="1" ht="15.75" customHeight="1" thickBot="1" x14ac:dyDescent="0.3">
      <c r="A216" s="2302" t="s">
        <v>91</v>
      </c>
      <c r="B216" s="2303"/>
      <c r="C216" s="2303"/>
      <c r="D216" s="2303"/>
      <c r="E216" s="2303"/>
      <c r="F216" s="2303"/>
      <c r="G216" s="2303"/>
      <c r="H216" s="2304"/>
      <c r="I216" s="2304"/>
      <c r="J216" s="1587">
        <f>SUMIF(I13:I192,"kt",J13:J192)</f>
        <v>5</v>
      </c>
      <c r="K216" s="1898">
        <f>SUMIF(I13:I190,"kt",K13:K190)</f>
        <v>6</v>
      </c>
      <c r="L216" s="284">
        <f>SUMIF(I13:I190,"kt",L13:L190)</f>
        <v>7</v>
      </c>
      <c r="M216" s="997">
        <f>SUMIF(J13:J190,"kt",M13:M190)</f>
        <v>0</v>
      </c>
      <c r="N216" s="87"/>
      <c r="O216" s="2301"/>
      <c r="P216" s="2301"/>
      <c r="Q216" s="2301"/>
      <c r="R216" s="2301"/>
    </row>
    <row r="217" spans="1:24" s="2" customFormat="1" ht="15.75" customHeight="1" thickBot="1" x14ac:dyDescent="0.3">
      <c r="A217" s="2276" t="s">
        <v>92</v>
      </c>
      <c r="B217" s="2277"/>
      <c r="C217" s="2277"/>
      <c r="D217" s="2277"/>
      <c r="E217" s="2277"/>
      <c r="F217" s="2277"/>
      <c r="G217" s="2277"/>
      <c r="H217" s="2278"/>
      <c r="I217" s="2278"/>
      <c r="J217" s="1969">
        <f>J200+J213</f>
        <v>50176.800000000003</v>
      </c>
      <c r="K217" s="1964">
        <f>K200+K213</f>
        <v>46029.2</v>
      </c>
      <c r="L217" s="1974">
        <f>L200+L213</f>
        <v>45742.5</v>
      </c>
      <c r="M217" s="830">
        <f>M200+M213</f>
        <v>0</v>
      </c>
      <c r="N217" s="142"/>
      <c r="O217" s="2279"/>
      <c r="P217" s="2279"/>
      <c r="Q217" s="2279"/>
      <c r="R217" s="2279"/>
    </row>
    <row r="218" spans="1:24" x14ac:dyDescent="0.25">
      <c r="G218" s="2280" t="s">
        <v>257</v>
      </c>
      <c r="H218" s="2280"/>
      <c r="I218" s="2281"/>
      <c r="J218" s="2281"/>
      <c r="K218" s="2281"/>
      <c r="L218" s="2281"/>
      <c r="M218" s="1655"/>
    </row>
    <row r="219" spans="1:24" x14ac:dyDescent="0.25">
      <c r="J219" s="146"/>
    </row>
    <row r="220" spans="1:24" x14ac:dyDescent="0.25">
      <c r="J220" s="146"/>
    </row>
    <row r="221" spans="1:24" x14ac:dyDescent="0.25">
      <c r="X221" s="1281"/>
    </row>
    <row r="223" spans="1:24" x14ac:dyDescent="0.25">
      <c r="J223" s="146"/>
      <c r="L223" s="146"/>
      <c r="M223" s="146"/>
    </row>
    <row r="225" spans="10:13" x14ac:dyDescent="0.25">
      <c r="J225" s="146"/>
      <c r="K225" s="146"/>
      <c r="L225" s="146"/>
      <c r="M225" s="146"/>
    </row>
  </sheetData>
  <mergeCells count="227">
    <mergeCell ref="L1:R1"/>
    <mergeCell ref="A2:R2"/>
    <mergeCell ref="A3:R3"/>
    <mergeCell ref="A4:R4"/>
    <mergeCell ref="A5:R5"/>
    <mergeCell ref="A6:A8"/>
    <mergeCell ref="B6:B8"/>
    <mergeCell ref="C6:C8"/>
    <mergeCell ref="E6:E8"/>
    <mergeCell ref="F6:F8"/>
    <mergeCell ref="A9:R9"/>
    <mergeCell ref="A10:R10"/>
    <mergeCell ref="B11:R11"/>
    <mergeCell ref="C12:R12"/>
    <mergeCell ref="E13:E17"/>
    <mergeCell ref="N13:N14"/>
    <mergeCell ref="N15:N16"/>
    <mergeCell ref="G6:G8"/>
    <mergeCell ref="I6:I8"/>
    <mergeCell ref="J6:J8"/>
    <mergeCell ref="K6:K8"/>
    <mergeCell ref="L6:L8"/>
    <mergeCell ref="N6:R6"/>
    <mergeCell ref="N7:N8"/>
    <mergeCell ref="O7:R7"/>
    <mergeCell ref="M6:M8"/>
    <mergeCell ref="O24:O25"/>
    <mergeCell ref="E26:E27"/>
    <mergeCell ref="F26:F27"/>
    <mergeCell ref="N26:N27"/>
    <mergeCell ref="A28:A29"/>
    <mergeCell ref="B28:B29"/>
    <mergeCell ref="E28:E29"/>
    <mergeCell ref="F28:F29"/>
    <mergeCell ref="E18:E21"/>
    <mergeCell ref="N20:N21"/>
    <mergeCell ref="E22:E23"/>
    <mergeCell ref="F22:F23"/>
    <mergeCell ref="N22:N23"/>
    <mergeCell ref="E24:E25"/>
    <mergeCell ref="N24:N25"/>
    <mergeCell ref="E34:E35"/>
    <mergeCell ref="F34:F35"/>
    <mergeCell ref="G34:G35"/>
    <mergeCell ref="N34:N35"/>
    <mergeCell ref="E36:E37"/>
    <mergeCell ref="F36:F37"/>
    <mergeCell ref="G36:G37"/>
    <mergeCell ref="N36:N37"/>
    <mergeCell ref="A30:A31"/>
    <mergeCell ref="B30:B31"/>
    <mergeCell ref="E30:E33"/>
    <mergeCell ref="F30:F33"/>
    <mergeCell ref="G30:G33"/>
    <mergeCell ref="N30:N32"/>
    <mergeCell ref="E43:E44"/>
    <mergeCell ref="N43:N44"/>
    <mergeCell ref="A45:A46"/>
    <mergeCell ref="B45:B46"/>
    <mergeCell ref="C45:C46"/>
    <mergeCell ref="E45:E46"/>
    <mergeCell ref="N45:N46"/>
    <mergeCell ref="E39:E40"/>
    <mergeCell ref="F40:I40"/>
    <mergeCell ref="A41:A42"/>
    <mergeCell ref="B41:B42"/>
    <mergeCell ref="C41:C42"/>
    <mergeCell ref="E41:E42"/>
    <mergeCell ref="F41:F42"/>
    <mergeCell ref="G41:G42"/>
    <mergeCell ref="C51:R51"/>
    <mergeCell ref="E52:E53"/>
    <mergeCell ref="F52:F65"/>
    <mergeCell ref="E61:E62"/>
    <mergeCell ref="E63:E64"/>
    <mergeCell ref="N63:N64"/>
    <mergeCell ref="H52:H54"/>
    <mergeCell ref="A47:A49"/>
    <mergeCell ref="B47:B49"/>
    <mergeCell ref="C47:C49"/>
    <mergeCell ref="E47:E49"/>
    <mergeCell ref="N48:N49"/>
    <mergeCell ref="C50:I50"/>
    <mergeCell ref="N50:R50"/>
    <mergeCell ref="N99:N100"/>
    <mergeCell ref="E101:E102"/>
    <mergeCell ref="E72:E73"/>
    <mergeCell ref="N72:N73"/>
    <mergeCell ref="E78:E79"/>
    <mergeCell ref="E85:E86"/>
    <mergeCell ref="N85:N86"/>
    <mergeCell ref="A87:A89"/>
    <mergeCell ref="B87:B89"/>
    <mergeCell ref="C87:C89"/>
    <mergeCell ref="E87:E89"/>
    <mergeCell ref="F87:F89"/>
    <mergeCell ref="A107:A108"/>
    <mergeCell ref="B107:B108"/>
    <mergeCell ref="C107:C108"/>
    <mergeCell ref="E107:E108"/>
    <mergeCell ref="F107:F108"/>
    <mergeCell ref="G107:G108"/>
    <mergeCell ref="G87:G89"/>
    <mergeCell ref="E92:E94"/>
    <mergeCell ref="E95:E96"/>
    <mergeCell ref="E97:E100"/>
    <mergeCell ref="N107:N108"/>
    <mergeCell ref="E109:E110"/>
    <mergeCell ref="E113:E114"/>
    <mergeCell ref="E118:E119"/>
    <mergeCell ref="N118:N119"/>
    <mergeCell ref="E120:E121"/>
    <mergeCell ref="F120:F123"/>
    <mergeCell ref="H120:H122"/>
    <mergeCell ref="E106:I106"/>
    <mergeCell ref="A123:A124"/>
    <mergeCell ref="B123:B124"/>
    <mergeCell ref="E123:E125"/>
    <mergeCell ref="N123:N124"/>
    <mergeCell ref="N129:N130"/>
    <mergeCell ref="E131:E132"/>
    <mergeCell ref="G131:G132"/>
    <mergeCell ref="N131:N132"/>
    <mergeCell ref="H126:H127"/>
    <mergeCell ref="H131:H132"/>
    <mergeCell ref="N138:N139"/>
    <mergeCell ref="A142:A144"/>
    <mergeCell ref="B142:B144"/>
    <mergeCell ref="C142:C144"/>
    <mergeCell ref="E142:E144"/>
    <mergeCell ref="F142:F144"/>
    <mergeCell ref="G142:G144"/>
    <mergeCell ref="A138:A141"/>
    <mergeCell ref="B138:B141"/>
    <mergeCell ref="C138:C141"/>
    <mergeCell ref="E138:E141"/>
    <mergeCell ref="F138:F141"/>
    <mergeCell ref="G138:G141"/>
    <mergeCell ref="N162:R162"/>
    <mergeCell ref="C163:I163"/>
    <mergeCell ref="N163:R163"/>
    <mergeCell ref="H156:H157"/>
    <mergeCell ref="C145:I145"/>
    <mergeCell ref="N145:R145"/>
    <mergeCell ref="C146:R146"/>
    <mergeCell ref="E148:E149"/>
    <mergeCell ref="E150:E152"/>
    <mergeCell ref="E153:E155"/>
    <mergeCell ref="H153:H155"/>
    <mergeCell ref="H159:H160"/>
    <mergeCell ref="H148:H149"/>
    <mergeCell ref="N181:N182"/>
    <mergeCell ref="E183:E184"/>
    <mergeCell ref="N183:N184"/>
    <mergeCell ref="E185:E186"/>
    <mergeCell ref="N185:N186"/>
    <mergeCell ref="C164:R164"/>
    <mergeCell ref="E169:E172"/>
    <mergeCell ref="F169:F172"/>
    <mergeCell ref="N171:N172"/>
    <mergeCell ref="E175:I175"/>
    <mergeCell ref="E176:E178"/>
    <mergeCell ref="F176:F179"/>
    <mergeCell ref="E179:E180"/>
    <mergeCell ref="H176:H177"/>
    <mergeCell ref="H169:H172"/>
    <mergeCell ref="H166:H167"/>
    <mergeCell ref="N196:R196"/>
    <mergeCell ref="A199:I199"/>
    <mergeCell ref="O199:R199"/>
    <mergeCell ref="A200:I200"/>
    <mergeCell ref="O200:R200"/>
    <mergeCell ref="A198:M198"/>
    <mergeCell ref="A197:R197"/>
    <mergeCell ref="E188:E190"/>
    <mergeCell ref="N188:N190"/>
    <mergeCell ref="E192:E193"/>
    <mergeCell ref="C194:I194"/>
    <mergeCell ref="N194:R194"/>
    <mergeCell ref="C195:I195"/>
    <mergeCell ref="N195:R195"/>
    <mergeCell ref="O206:R206"/>
    <mergeCell ref="A207:I207"/>
    <mergeCell ref="O207:R207"/>
    <mergeCell ref="A208:I208"/>
    <mergeCell ref="A209:I209"/>
    <mergeCell ref="A201:I201"/>
    <mergeCell ref="A202:I202"/>
    <mergeCell ref="O202:R202"/>
    <mergeCell ref="A203:I203"/>
    <mergeCell ref="A204:I204"/>
    <mergeCell ref="A205:I205"/>
    <mergeCell ref="O215:R215"/>
    <mergeCell ref="A216:I216"/>
    <mergeCell ref="O216:R216"/>
    <mergeCell ref="A217:I217"/>
    <mergeCell ref="O217:R217"/>
    <mergeCell ref="A210:I210"/>
    <mergeCell ref="A211:I211"/>
    <mergeCell ref="A212:I212"/>
    <mergeCell ref="A213:I213"/>
    <mergeCell ref="A214:I214"/>
    <mergeCell ref="O214:R214"/>
    <mergeCell ref="H133:H135"/>
    <mergeCell ref="H138:H139"/>
    <mergeCell ref="H142:H144"/>
    <mergeCell ref="H150:H152"/>
    <mergeCell ref="G218:L218"/>
    <mergeCell ref="D6:D8"/>
    <mergeCell ref="H6:H8"/>
    <mergeCell ref="H13:H15"/>
    <mergeCell ref="H43:H44"/>
    <mergeCell ref="H45:H46"/>
    <mergeCell ref="H47:H49"/>
    <mergeCell ref="A215:I215"/>
    <mergeCell ref="A206:I206"/>
    <mergeCell ref="B196:I196"/>
    <mergeCell ref="E181:E182"/>
    <mergeCell ref="E156:E157"/>
    <mergeCell ref="F156:F157"/>
    <mergeCell ref="E162:I162"/>
    <mergeCell ref="A133:A137"/>
    <mergeCell ref="B133:B137"/>
    <mergeCell ref="C133:C137"/>
    <mergeCell ref="E133:E137"/>
    <mergeCell ref="F133:F137"/>
    <mergeCell ref="G133:G137"/>
  </mergeCells>
  <printOptions horizontalCentered="1"/>
  <pageMargins left="0.31496062992125984" right="0.31496062992125984" top="0.74803149606299213" bottom="0.35433070866141736" header="0.31496062992125984" footer="0.31496062992125984"/>
  <pageSetup paperSize="9" scale="95" orientation="landscape" r:id="rId1"/>
  <rowBreaks count="9" manualBreakCount="9">
    <brk id="19" max="17" man="1"/>
    <brk id="94" max="17" man="1"/>
    <brk id="108" max="17" man="1"/>
    <brk id="116" max="17" man="1"/>
    <brk id="132" max="17" man="1"/>
    <brk id="149" max="17" man="1"/>
    <brk id="164" max="17" man="1"/>
    <brk id="186" max="17" man="1"/>
    <brk id="197" max="1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3" customWidth="1"/>
    <col min="4" max="4" width="25.28515625" style="121" customWidth="1"/>
    <col min="5" max="5" width="3.28515625" style="671" customWidth="1"/>
    <col min="6" max="6" width="3.140625" style="672" customWidth="1"/>
    <col min="7" max="7" width="8.5703125" style="121" customWidth="1"/>
    <col min="8" max="10" width="8.7109375" style="146" customWidth="1"/>
    <col min="11" max="11" width="8.85546875" style="146" customWidth="1"/>
    <col min="12" max="12" width="8.42578125" style="146" customWidth="1"/>
    <col min="13" max="13" width="8.140625" style="146" customWidth="1"/>
    <col min="14" max="15" width="8.5703125" style="146" customWidth="1"/>
    <col min="16" max="16" width="8.140625" style="146" customWidth="1"/>
    <col min="17" max="17" width="24.28515625" style="121" customWidth="1"/>
    <col min="18" max="18" width="5.5703125" style="123" customWidth="1"/>
    <col min="19" max="19" width="5.28515625" style="123" customWidth="1"/>
    <col min="20" max="20" width="6" style="123" customWidth="1"/>
    <col min="21" max="21" width="29.42578125" style="794" customWidth="1"/>
    <col min="22" max="16384" width="9.140625" style="121"/>
  </cols>
  <sheetData>
    <row r="1" spans="1:22" s="215" customFormat="1" ht="36.75" customHeight="1" x14ac:dyDescent="0.25">
      <c r="A1" s="212"/>
      <c r="B1" s="212"/>
      <c r="C1" s="212"/>
      <c r="D1" s="212"/>
      <c r="E1" s="213"/>
      <c r="F1" s="395"/>
      <c r="G1" s="214"/>
      <c r="H1" s="602"/>
      <c r="I1" s="602"/>
      <c r="J1" s="602"/>
      <c r="K1" s="602"/>
      <c r="L1" s="602"/>
      <c r="M1" s="602"/>
      <c r="N1" s="496"/>
      <c r="O1" s="496"/>
      <c r="P1" s="496"/>
      <c r="Q1" s="2757" t="s">
        <v>161</v>
      </c>
      <c r="R1" s="2757"/>
      <c r="S1" s="2757"/>
      <c r="T1" s="2757"/>
      <c r="U1" s="2757"/>
    </row>
    <row r="2" spans="1:22" s="118" customFormat="1" ht="16.5" customHeight="1" x14ac:dyDescent="0.25">
      <c r="A2" s="2521" t="s">
        <v>230</v>
      </c>
      <c r="B2" s="2521"/>
      <c r="C2" s="2521"/>
      <c r="D2" s="2521"/>
      <c r="E2" s="2521"/>
      <c r="F2" s="2521"/>
      <c r="G2" s="2521"/>
      <c r="H2" s="2521"/>
      <c r="I2" s="2521"/>
      <c r="J2" s="2521"/>
      <c r="K2" s="2521"/>
      <c r="L2" s="2521"/>
      <c r="M2" s="2521"/>
      <c r="N2" s="2521"/>
      <c r="O2" s="2521"/>
      <c r="P2" s="2521"/>
      <c r="Q2" s="2521"/>
      <c r="R2" s="2521"/>
      <c r="S2" s="2521"/>
      <c r="T2" s="2521"/>
      <c r="U2" s="2521"/>
    </row>
    <row r="3" spans="1:22" s="119" customFormat="1" ht="16.5" customHeight="1" x14ac:dyDescent="0.25">
      <c r="A3" s="2522" t="s">
        <v>0</v>
      </c>
      <c r="B3" s="2522"/>
      <c r="C3" s="2522"/>
      <c r="D3" s="2522"/>
      <c r="E3" s="2522"/>
      <c r="F3" s="2522"/>
      <c r="G3" s="2522"/>
      <c r="H3" s="2522"/>
      <c r="I3" s="2522"/>
      <c r="J3" s="2522"/>
      <c r="K3" s="2522"/>
      <c r="L3" s="2522"/>
      <c r="M3" s="2522"/>
      <c r="N3" s="2522"/>
      <c r="O3" s="2522"/>
      <c r="P3" s="2522"/>
      <c r="Q3" s="2522"/>
      <c r="R3" s="2522"/>
      <c r="S3" s="2522"/>
      <c r="T3" s="2522"/>
      <c r="U3" s="2522"/>
    </row>
    <row r="4" spans="1:22" s="119" customFormat="1" ht="16.5" customHeight="1" x14ac:dyDescent="0.25">
      <c r="A4" s="2523" t="s">
        <v>1</v>
      </c>
      <c r="B4" s="2523"/>
      <c r="C4" s="2523"/>
      <c r="D4" s="2523"/>
      <c r="E4" s="2523"/>
      <c r="F4" s="2523"/>
      <c r="G4" s="2523"/>
      <c r="H4" s="2523"/>
      <c r="I4" s="2523"/>
      <c r="J4" s="2523"/>
      <c r="K4" s="2523"/>
      <c r="L4" s="2523"/>
      <c r="M4" s="2523"/>
      <c r="N4" s="2523"/>
      <c r="O4" s="2523"/>
      <c r="P4" s="2523"/>
      <c r="Q4" s="2523"/>
      <c r="R4" s="2523"/>
      <c r="S4" s="2523"/>
      <c r="T4" s="2523"/>
      <c r="U4" s="2523"/>
    </row>
    <row r="5" spans="1:22" s="2" customFormat="1" ht="21.75" customHeight="1" thickBot="1" x14ac:dyDescent="0.25">
      <c r="A5" s="2524" t="s">
        <v>2</v>
      </c>
      <c r="B5" s="2524"/>
      <c r="C5" s="2524"/>
      <c r="D5" s="2524"/>
      <c r="E5" s="2524"/>
      <c r="F5" s="2524"/>
      <c r="G5" s="2524"/>
      <c r="H5" s="2524"/>
      <c r="I5" s="2524"/>
      <c r="J5" s="2524"/>
      <c r="K5" s="2524"/>
      <c r="L5" s="2524"/>
      <c r="M5" s="2524"/>
      <c r="N5" s="2524"/>
      <c r="O5" s="2524"/>
      <c r="P5" s="2524"/>
      <c r="Q5" s="2524"/>
      <c r="R5" s="2524"/>
      <c r="S5" s="2524"/>
      <c r="T5" s="2524"/>
      <c r="U5" s="2524"/>
    </row>
    <row r="6" spans="1:22" s="3" customFormat="1" ht="20.25" customHeight="1" x14ac:dyDescent="0.25">
      <c r="A6" s="2525" t="s">
        <v>3</v>
      </c>
      <c r="B6" s="2528" t="s">
        <v>4</v>
      </c>
      <c r="C6" s="2531" t="s">
        <v>5</v>
      </c>
      <c r="D6" s="2534" t="s">
        <v>6</v>
      </c>
      <c r="E6" s="2537" t="s">
        <v>7</v>
      </c>
      <c r="F6" s="2506" t="s">
        <v>8</v>
      </c>
      <c r="G6" s="2768" t="s">
        <v>9</v>
      </c>
      <c r="H6" s="2512" t="s">
        <v>182</v>
      </c>
      <c r="I6" s="2514" t="s">
        <v>246</v>
      </c>
      <c r="J6" s="2517" t="s">
        <v>162</v>
      </c>
      <c r="K6" s="2512" t="s">
        <v>249</v>
      </c>
      <c r="L6" s="2514" t="s">
        <v>250</v>
      </c>
      <c r="M6" s="2517" t="s">
        <v>162</v>
      </c>
      <c r="N6" s="2512" t="s">
        <v>253</v>
      </c>
      <c r="O6" s="2514" t="s">
        <v>254</v>
      </c>
      <c r="P6" s="2517" t="s">
        <v>162</v>
      </c>
      <c r="Q6" s="2582" t="s">
        <v>10</v>
      </c>
      <c r="R6" s="2583"/>
      <c r="S6" s="2583"/>
      <c r="T6" s="2692"/>
      <c r="U6" s="2758" t="s">
        <v>163</v>
      </c>
    </row>
    <row r="7" spans="1:22" s="3" customFormat="1" ht="20.25" customHeight="1" x14ac:dyDescent="0.25">
      <c r="A7" s="2526"/>
      <c r="B7" s="2529"/>
      <c r="C7" s="2532"/>
      <c r="D7" s="2535"/>
      <c r="E7" s="2538"/>
      <c r="F7" s="2507"/>
      <c r="G7" s="2769"/>
      <c r="H7" s="2513"/>
      <c r="I7" s="2515"/>
      <c r="J7" s="2518"/>
      <c r="K7" s="2513"/>
      <c r="L7" s="2515"/>
      <c r="M7" s="2518"/>
      <c r="N7" s="2513"/>
      <c r="O7" s="2515"/>
      <c r="P7" s="2518"/>
      <c r="Q7" s="2771" t="s">
        <v>6</v>
      </c>
      <c r="R7" s="2693" t="s">
        <v>11</v>
      </c>
      <c r="S7" s="2496"/>
      <c r="T7" s="2497"/>
      <c r="U7" s="2759"/>
    </row>
    <row r="8" spans="1:22" s="3" customFormat="1" ht="89.25" customHeight="1" thickBot="1" x14ac:dyDescent="0.3">
      <c r="A8" s="2527"/>
      <c r="B8" s="2530"/>
      <c r="C8" s="2533"/>
      <c r="D8" s="2536"/>
      <c r="E8" s="2539"/>
      <c r="F8" s="2508"/>
      <c r="G8" s="2770"/>
      <c r="H8" s="2513"/>
      <c r="I8" s="2516"/>
      <c r="J8" s="2688"/>
      <c r="K8" s="2513"/>
      <c r="L8" s="2516"/>
      <c r="M8" s="2688"/>
      <c r="N8" s="2513"/>
      <c r="O8" s="2516"/>
      <c r="P8" s="2688"/>
      <c r="Q8" s="2586"/>
      <c r="R8" s="4" t="s">
        <v>12</v>
      </c>
      <c r="S8" s="4" t="s">
        <v>132</v>
      </c>
      <c r="T8" s="379" t="s">
        <v>184</v>
      </c>
      <c r="U8" s="2760"/>
    </row>
    <row r="9" spans="1:22" s="2" customFormat="1" ht="15.75" customHeight="1" x14ac:dyDescent="0.25">
      <c r="A9" s="2498" t="s">
        <v>13</v>
      </c>
      <c r="B9" s="2499"/>
      <c r="C9" s="2499"/>
      <c r="D9" s="2499"/>
      <c r="E9" s="2499"/>
      <c r="F9" s="2499"/>
      <c r="G9" s="2499"/>
      <c r="H9" s="2499"/>
      <c r="I9" s="2499"/>
      <c r="J9" s="2499"/>
      <c r="K9" s="2499"/>
      <c r="L9" s="2499"/>
      <c r="M9" s="2499"/>
      <c r="N9" s="2499"/>
      <c r="O9" s="2499"/>
      <c r="P9" s="2499"/>
      <c r="Q9" s="2499"/>
      <c r="R9" s="2499"/>
      <c r="S9" s="2499"/>
      <c r="T9" s="2499"/>
      <c r="U9" s="2500"/>
    </row>
    <row r="10" spans="1:22" s="2" customFormat="1" ht="15.75" customHeight="1" thickBot="1" x14ac:dyDescent="0.3">
      <c r="A10" s="2761" t="s">
        <v>14</v>
      </c>
      <c r="B10" s="2502"/>
      <c r="C10" s="2502"/>
      <c r="D10" s="2502"/>
      <c r="E10" s="2502"/>
      <c r="F10" s="2502"/>
      <c r="G10" s="2502"/>
      <c r="H10" s="2502"/>
      <c r="I10" s="2502"/>
      <c r="J10" s="2502"/>
      <c r="K10" s="2502"/>
      <c r="L10" s="2502"/>
      <c r="M10" s="2502"/>
      <c r="N10" s="2502"/>
      <c r="O10" s="2502"/>
      <c r="P10" s="2502"/>
      <c r="Q10" s="2502"/>
      <c r="R10" s="2502"/>
      <c r="S10" s="2502"/>
      <c r="T10" s="2502"/>
      <c r="U10" s="2503"/>
      <c r="V10" s="3"/>
    </row>
    <row r="11" spans="1:22" s="3" customFormat="1" ht="15.75" customHeight="1" thickBot="1" x14ac:dyDescent="0.3">
      <c r="A11" s="576" t="s">
        <v>15</v>
      </c>
      <c r="B11" s="2762" t="s">
        <v>16</v>
      </c>
      <c r="C11" s="2762"/>
      <c r="D11" s="2762"/>
      <c r="E11" s="2762"/>
      <c r="F11" s="2762"/>
      <c r="G11" s="2762"/>
      <c r="H11" s="2762"/>
      <c r="I11" s="2762"/>
      <c r="J11" s="2762"/>
      <c r="K11" s="2762"/>
      <c r="L11" s="2762"/>
      <c r="M11" s="2762"/>
      <c r="N11" s="2762"/>
      <c r="O11" s="2762"/>
      <c r="P11" s="2762"/>
      <c r="Q11" s="2762"/>
      <c r="R11" s="2762"/>
      <c r="S11" s="2762"/>
      <c r="T11" s="2762"/>
      <c r="U11" s="2763"/>
    </row>
    <row r="12" spans="1:22" s="3" customFormat="1" ht="15.75" customHeight="1" thickBot="1" x14ac:dyDescent="0.3">
      <c r="A12" s="577" t="s">
        <v>15</v>
      </c>
      <c r="B12" s="736" t="s">
        <v>15</v>
      </c>
      <c r="C12" s="2764" t="s">
        <v>17</v>
      </c>
      <c r="D12" s="2765"/>
      <c r="E12" s="2765"/>
      <c r="F12" s="2765"/>
      <c r="G12" s="2765"/>
      <c r="H12" s="2765"/>
      <c r="I12" s="2765"/>
      <c r="J12" s="2765"/>
      <c r="K12" s="2765"/>
      <c r="L12" s="2765"/>
      <c r="M12" s="2765"/>
      <c r="N12" s="2765"/>
      <c r="O12" s="2765"/>
      <c r="P12" s="2765"/>
      <c r="Q12" s="2765"/>
      <c r="R12" s="2765"/>
      <c r="S12" s="2765"/>
      <c r="T12" s="2765"/>
      <c r="U12" s="2766"/>
    </row>
    <row r="13" spans="1:22" s="3" customFormat="1" ht="15.75" customHeight="1" x14ac:dyDescent="0.25">
      <c r="A13" s="651" t="s">
        <v>15</v>
      </c>
      <c r="B13" s="6" t="s">
        <v>15</v>
      </c>
      <c r="C13" s="9" t="s">
        <v>15</v>
      </c>
      <c r="D13" s="2729" t="s">
        <v>18</v>
      </c>
      <c r="E13" s="716"/>
      <c r="F13" s="730" t="s">
        <v>19</v>
      </c>
      <c r="G13" s="186" t="s">
        <v>22</v>
      </c>
      <c r="H13" s="257">
        <f>3028.7-26.1</f>
        <v>3002.6</v>
      </c>
      <c r="I13" s="928">
        <v>2839.3</v>
      </c>
      <c r="J13" s="929">
        <f>+I13-H13</f>
        <v>-163.29999999999973</v>
      </c>
      <c r="K13" s="807">
        <v>3028.7</v>
      </c>
      <c r="L13" s="227">
        <v>3028.7</v>
      </c>
      <c r="M13" s="242"/>
      <c r="N13" s="44">
        <v>3028.7</v>
      </c>
      <c r="O13" s="227">
        <v>3028.7</v>
      </c>
      <c r="P13" s="325"/>
      <c r="Q13" s="731"/>
      <c r="R13" s="739"/>
      <c r="S13" s="694"/>
      <c r="T13" s="696"/>
      <c r="U13" s="2772" t="s">
        <v>274</v>
      </c>
    </row>
    <row r="14" spans="1:22" s="3" customFormat="1" ht="15.75" customHeight="1" x14ac:dyDescent="0.25">
      <c r="A14" s="729"/>
      <c r="B14" s="8"/>
      <c r="C14" s="9"/>
      <c r="D14" s="2730"/>
      <c r="E14" s="716"/>
      <c r="F14" s="730"/>
      <c r="G14" s="205" t="s">
        <v>20</v>
      </c>
      <c r="H14" s="258">
        <v>780.3</v>
      </c>
      <c r="I14" s="258">
        <v>780.3</v>
      </c>
      <c r="J14" s="243"/>
      <c r="K14" s="808">
        <v>780.3</v>
      </c>
      <c r="L14" s="258">
        <v>780.3</v>
      </c>
      <c r="M14" s="243"/>
      <c r="N14" s="808">
        <v>780.3</v>
      </c>
      <c r="O14" s="258">
        <v>780.3</v>
      </c>
      <c r="P14" s="738"/>
      <c r="Q14" s="96"/>
      <c r="R14" s="737"/>
      <c r="S14" s="732"/>
      <c r="T14" s="733"/>
      <c r="U14" s="2773"/>
    </row>
    <row r="15" spans="1:22" s="3" customFormat="1" ht="31.5" customHeight="1" x14ac:dyDescent="0.25">
      <c r="A15" s="729"/>
      <c r="B15" s="8"/>
      <c r="C15" s="9"/>
      <c r="D15" s="859"/>
      <c r="E15" s="716"/>
      <c r="F15" s="730"/>
      <c r="G15" s="205"/>
      <c r="H15" s="258"/>
      <c r="I15" s="258"/>
      <c r="J15" s="243"/>
      <c r="K15" s="808"/>
      <c r="L15" s="258"/>
      <c r="M15" s="243"/>
      <c r="N15" s="808"/>
      <c r="O15" s="258"/>
      <c r="P15" s="738"/>
      <c r="Q15" s="96" t="s">
        <v>23</v>
      </c>
      <c r="R15" s="930" t="s">
        <v>260</v>
      </c>
      <c r="S15" s="858">
        <v>1340</v>
      </c>
      <c r="T15" s="552">
        <v>1340</v>
      </c>
      <c r="U15" s="2773"/>
    </row>
    <row r="16" spans="1:22" s="3" customFormat="1" ht="42.75" customHeight="1" x14ac:dyDescent="0.25">
      <c r="A16" s="639"/>
      <c r="B16" s="8"/>
      <c r="C16" s="9"/>
      <c r="D16" s="859"/>
      <c r="E16" s="716"/>
      <c r="F16" s="647"/>
      <c r="G16" s="186"/>
      <c r="H16" s="257"/>
      <c r="I16" s="257"/>
      <c r="J16" s="242"/>
      <c r="K16" s="807"/>
      <c r="L16" s="257"/>
      <c r="M16" s="242"/>
      <c r="N16" s="807"/>
      <c r="O16" s="257"/>
      <c r="P16" s="326"/>
      <c r="Q16" s="116" t="s">
        <v>24</v>
      </c>
      <c r="R16" s="896">
        <v>5200</v>
      </c>
      <c r="S16" s="317">
        <v>4660</v>
      </c>
      <c r="T16" s="294">
        <v>4660</v>
      </c>
      <c r="U16" s="2773"/>
    </row>
    <row r="17" spans="1:21" s="3" customFormat="1" ht="54" customHeight="1" x14ac:dyDescent="0.25">
      <c r="A17" s="639"/>
      <c r="B17" s="8"/>
      <c r="C17" s="9"/>
      <c r="D17" s="859"/>
      <c r="E17" s="716"/>
      <c r="F17" s="647"/>
      <c r="G17" s="186"/>
      <c r="H17" s="257"/>
      <c r="I17" s="257"/>
      <c r="J17" s="242"/>
      <c r="K17" s="807"/>
      <c r="L17" s="257"/>
      <c r="M17" s="242"/>
      <c r="N17" s="807"/>
      <c r="O17" s="257"/>
      <c r="P17" s="326"/>
      <c r="Q17" s="53" t="s">
        <v>25</v>
      </c>
      <c r="R17" s="658">
        <v>100</v>
      </c>
      <c r="S17" s="659">
        <v>100</v>
      </c>
      <c r="T17" s="660">
        <v>100</v>
      </c>
      <c r="U17" s="2774"/>
    </row>
    <row r="18" spans="1:21" s="3" customFormat="1" ht="54.75" customHeight="1" x14ac:dyDescent="0.25">
      <c r="A18" s="639"/>
      <c r="B18" s="8"/>
      <c r="C18" s="9"/>
      <c r="D18" s="2719" t="s">
        <v>21</v>
      </c>
      <c r="E18" s="716"/>
      <c r="F18" s="647"/>
      <c r="G18" s="10"/>
      <c r="H18" s="229"/>
      <c r="I18" s="229"/>
      <c r="J18" s="216"/>
      <c r="K18" s="11"/>
      <c r="L18" s="229"/>
      <c r="M18" s="216"/>
      <c r="N18" s="11"/>
      <c r="O18" s="229"/>
      <c r="P18" s="13"/>
      <c r="Q18" s="53" t="s">
        <v>103</v>
      </c>
      <c r="R18" s="172">
        <v>5</v>
      </c>
      <c r="S18" s="102">
        <v>5</v>
      </c>
      <c r="T18" s="660">
        <v>5</v>
      </c>
      <c r="U18" s="740"/>
    </row>
    <row r="19" spans="1:21" s="3" customFormat="1" ht="41.25" customHeight="1" x14ac:dyDescent="0.25">
      <c r="A19" s="639"/>
      <c r="B19" s="8"/>
      <c r="C19" s="9"/>
      <c r="D19" s="2719"/>
      <c r="E19" s="716"/>
      <c r="F19" s="647"/>
      <c r="G19" s="10"/>
      <c r="H19" s="230"/>
      <c r="I19" s="230"/>
      <c r="J19" s="217"/>
      <c r="K19" s="14"/>
      <c r="L19" s="230"/>
      <c r="M19" s="217"/>
      <c r="N19" s="14"/>
      <c r="O19" s="230"/>
      <c r="P19" s="535"/>
      <c r="Q19" s="66" t="s">
        <v>102</v>
      </c>
      <c r="R19" s="12">
        <v>180</v>
      </c>
      <c r="S19" s="130">
        <v>180</v>
      </c>
      <c r="T19" s="365">
        <v>180</v>
      </c>
      <c r="U19" s="741"/>
    </row>
    <row r="20" spans="1:21" s="3" customFormat="1" ht="36.75" customHeight="1" x14ac:dyDescent="0.25">
      <c r="A20" s="639"/>
      <c r="B20" s="8"/>
      <c r="C20" s="9"/>
      <c r="D20" s="357"/>
      <c r="E20" s="716"/>
      <c r="F20" s="647"/>
      <c r="G20" s="15"/>
      <c r="H20" s="231"/>
      <c r="I20" s="231"/>
      <c r="J20" s="218"/>
      <c r="K20" s="141"/>
      <c r="L20" s="231"/>
      <c r="M20" s="218"/>
      <c r="N20" s="141"/>
      <c r="O20" s="231"/>
      <c r="P20" s="810"/>
      <c r="Q20" s="2646" t="s">
        <v>104</v>
      </c>
      <c r="R20" s="12">
        <v>40</v>
      </c>
      <c r="S20" s="130">
        <v>45</v>
      </c>
      <c r="T20" s="365">
        <v>50</v>
      </c>
      <c r="U20" s="741"/>
    </row>
    <row r="21" spans="1:21" s="3" customFormat="1" ht="17.25" customHeight="1" x14ac:dyDescent="0.25">
      <c r="A21" s="796"/>
      <c r="B21" s="8"/>
      <c r="C21" s="703"/>
      <c r="D21" s="632"/>
      <c r="E21" s="198"/>
      <c r="F21" s="113"/>
      <c r="G21" s="19" t="s">
        <v>26</v>
      </c>
      <c r="H21" s="233">
        <f>SUM(H13:H20)</f>
        <v>3782.8999999999996</v>
      </c>
      <c r="I21" s="233">
        <f>SUM(I13:I20)</f>
        <v>3619.6000000000004</v>
      </c>
      <c r="J21" s="233">
        <f>SUM(J13:J20)</f>
        <v>-163.29999999999973</v>
      </c>
      <c r="K21" s="809">
        <f>SUM(K13:K20)</f>
        <v>3809</v>
      </c>
      <c r="L21" s="815">
        <f>SUM(L13:L20)</f>
        <v>3809</v>
      </c>
      <c r="M21" s="917"/>
      <c r="N21" s="134">
        <f>SUM(N13:N20)</f>
        <v>3809</v>
      </c>
      <c r="O21" s="233">
        <f>SUM(O13:O20)</f>
        <v>3809</v>
      </c>
      <c r="P21" s="340"/>
      <c r="Q21" s="2767"/>
      <c r="R21" s="673"/>
      <c r="S21" s="431"/>
      <c r="T21" s="678"/>
      <c r="U21" s="742"/>
    </row>
    <row r="22" spans="1:21" s="3" customFormat="1" ht="73.5" customHeight="1" x14ac:dyDescent="0.25">
      <c r="A22" s="639" t="s">
        <v>261</v>
      </c>
      <c r="B22" s="8"/>
      <c r="C22" s="9"/>
      <c r="D22" s="2580" t="s">
        <v>27</v>
      </c>
      <c r="E22" s="2752" t="s">
        <v>119</v>
      </c>
      <c r="F22" s="647"/>
      <c r="G22" s="10" t="s">
        <v>20</v>
      </c>
      <c r="H22" s="259">
        <v>2018.8</v>
      </c>
      <c r="I22" s="948">
        <v>3018.5</v>
      </c>
      <c r="J22" s="734">
        <f>+I22-H22</f>
        <v>999.7</v>
      </c>
      <c r="K22" s="59">
        <v>2432.8000000000002</v>
      </c>
      <c r="L22" s="259">
        <v>2432.8000000000002</v>
      </c>
      <c r="M22" s="244"/>
      <c r="N22" s="59">
        <v>2432.8000000000002</v>
      </c>
      <c r="O22" s="259">
        <v>2432.8000000000002</v>
      </c>
      <c r="P22" s="327"/>
      <c r="Q22" s="2293" t="s">
        <v>28</v>
      </c>
      <c r="R22" s="104">
        <v>657</v>
      </c>
      <c r="S22" s="112">
        <v>657</v>
      </c>
      <c r="T22" s="145">
        <v>657</v>
      </c>
      <c r="U22" s="743" t="s">
        <v>262</v>
      </c>
    </row>
    <row r="23" spans="1:21" s="3" customFormat="1" ht="16.5" customHeight="1" x14ac:dyDescent="0.25">
      <c r="A23" s="639"/>
      <c r="B23" s="8"/>
      <c r="C23" s="703"/>
      <c r="D23" s="2581"/>
      <c r="E23" s="2285"/>
      <c r="F23" s="647"/>
      <c r="G23" s="19" t="s">
        <v>26</v>
      </c>
      <c r="H23" s="233">
        <f>SUM(H22:H22)</f>
        <v>2018.8</v>
      </c>
      <c r="I23" s="233">
        <f>SUM(I22:I22)</f>
        <v>3018.5</v>
      </c>
      <c r="J23" s="233">
        <f>SUM(J22:J22)</f>
        <v>999.7</v>
      </c>
      <c r="K23" s="134">
        <f>SUM(K22:K22)</f>
        <v>2432.8000000000002</v>
      </c>
      <c r="L23" s="233">
        <f>SUM(L22:L22)</f>
        <v>2432.8000000000002</v>
      </c>
      <c r="M23" s="220"/>
      <c r="N23" s="134">
        <f>SUM(N22:N22)</f>
        <v>2432.8000000000002</v>
      </c>
      <c r="O23" s="233">
        <f>SUM(O22:O22)</f>
        <v>2432.8000000000002</v>
      </c>
      <c r="P23" s="340"/>
      <c r="Q23" s="2292"/>
      <c r="R23" s="699"/>
      <c r="S23" s="371"/>
      <c r="T23" s="108"/>
      <c r="U23" s="744"/>
    </row>
    <row r="24" spans="1:21" s="3" customFormat="1" ht="25.5" customHeight="1" x14ac:dyDescent="0.25">
      <c r="A24" s="639"/>
      <c r="B24" s="8"/>
      <c r="C24" s="9"/>
      <c r="D24" s="2469" t="s">
        <v>29</v>
      </c>
      <c r="E24" s="197"/>
      <c r="F24" s="647"/>
      <c r="G24" s="15" t="s">
        <v>20</v>
      </c>
      <c r="H24" s="234">
        <v>480.1</v>
      </c>
      <c r="I24" s="234">
        <v>480.1</v>
      </c>
      <c r="J24" s="221"/>
      <c r="K24" s="56">
        <v>436.5</v>
      </c>
      <c r="L24" s="234">
        <v>436.5</v>
      </c>
      <c r="M24" s="221"/>
      <c r="N24" s="56">
        <v>436.5</v>
      </c>
      <c r="O24" s="234">
        <v>436.5</v>
      </c>
      <c r="P24" s="532"/>
      <c r="Q24" s="2645" t="s">
        <v>30</v>
      </c>
      <c r="R24" s="2741">
        <v>36</v>
      </c>
      <c r="S24" s="2750">
        <v>36</v>
      </c>
      <c r="T24" s="700">
        <v>36</v>
      </c>
      <c r="U24" s="2743"/>
    </row>
    <row r="25" spans="1:21" s="3" customFormat="1" ht="16.5" customHeight="1" x14ac:dyDescent="0.25">
      <c r="A25" s="639"/>
      <c r="B25" s="8"/>
      <c r="C25" s="703"/>
      <c r="D25" s="2470"/>
      <c r="E25" s="198"/>
      <c r="F25" s="647"/>
      <c r="G25" s="19" t="s">
        <v>26</v>
      </c>
      <c r="H25" s="233">
        <f>+H24</f>
        <v>480.1</v>
      </c>
      <c r="I25" s="233">
        <f>+I24</f>
        <v>480.1</v>
      </c>
      <c r="J25" s="233">
        <f>+J24</f>
        <v>0</v>
      </c>
      <c r="K25" s="134">
        <f>+K24</f>
        <v>436.5</v>
      </c>
      <c r="L25" s="233">
        <f>+L24</f>
        <v>436.5</v>
      </c>
      <c r="M25" s="220"/>
      <c r="N25" s="134">
        <f>+N24</f>
        <v>436.5</v>
      </c>
      <c r="O25" s="233">
        <f>+O24</f>
        <v>436.5</v>
      </c>
      <c r="P25" s="340"/>
      <c r="Q25" s="2649"/>
      <c r="R25" s="2742"/>
      <c r="S25" s="2751"/>
      <c r="T25" s="701"/>
      <c r="U25" s="2660"/>
    </row>
    <row r="26" spans="1:21" s="3" customFormat="1" ht="18" customHeight="1" x14ac:dyDescent="0.25">
      <c r="A26" s="639"/>
      <c r="B26" s="8"/>
      <c r="C26" s="9"/>
      <c r="D26" s="2580" t="s">
        <v>31</v>
      </c>
      <c r="E26" s="2480" t="s">
        <v>114</v>
      </c>
      <c r="F26" s="647"/>
      <c r="G26" s="15" t="s">
        <v>20</v>
      </c>
      <c r="H26" s="235">
        <v>469.2</v>
      </c>
      <c r="I26" s="915">
        <f>469.2-20-38.5-23.5</f>
        <v>387.2</v>
      </c>
      <c r="J26" s="916">
        <f>+I26-H26</f>
        <v>-82</v>
      </c>
      <c r="K26" s="131">
        <v>469.2</v>
      </c>
      <c r="L26" s="915">
        <v>387.2</v>
      </c>
      <c r="M26" s="916">
        <f>+L26-K26</f>
        <v>-82</v>
      </c>
      <c r="N26" s="131">
        <v>469.2</v>
      </c>
      <c r="O26" s="915">
        <v>387.2</v>
      </c>
      <c r="P26" s="918">
        <f>+O26-N26</f>
        <v>-82</v>
      </c>
      <c r="Q26" s="2645" t="s">
        <v>32</v>
      </c>
      <c r="R26" s="942" t="s">
        <v>188</v>
      </c>
      <c r="S26" s="943" t="s">
        <v>188</v>
      </c>
      <c r="T26" s="944" t="s">
        <v>188</v>
      </c>
      <c r="U26" s="2744" t="s">
        <v>259</v>
      </c>
    </row>
    <row r="27" spans="1:21" s="3" customFormat="1" ht="18" customHeight="1" x14ac:dyDescent="0.25">
      <c r="A27" s="920"/>
      <c r="B27" s="8"/>
      <c r="C27" s="9"/>
      <c r="D27" s="2580"/>
      <c r="E27" s="2480"/>
      <c r="F27" s="921"/>
      <c r="G27" s="15"/>
      <c r="H27" s="238"/>
      <c r="I27" s="922"/>
      <c r="J27" s="923"/>
      <c r="K27" s="27"/>
      <c r="L27" s="922"/>
      <c r="M27" s="923"/>
      <c r="N27" s="27"/>
      <c r="O27" s="922"/>
      <c r="P27" s="924"/>
      <c r="Q27" s="2645"/>
      <c r="R27" s="945" t="s">
        <v>189</v>
      </c>
      <c r="S27" s="946" t="s">
        <v>189</v>
      </c>
      <c r="T27" s="947" t="s">
        <v>189</v>
      </c>
      <c r="U27" s="2745"/>
    </row>
    <row r="28" spans="1:21" s="3" customFormat="1" ht="16.5" customHeight="1" x14ac:dyDescent="0.25">
      <c r="A28" s="639"/>
      <c r="B28" s="8"/>
      <c r="C28" s="9"/>
      <c r="D28" s="2580"/>
      <c r="E28" s="2481"/>
      <c r="F28" s="647"/>
      <c r="G28" s="19" t="s">
        <v>26</v>
      </c>
      <c r="H28" s="232">
        <f t="shared" ref="H28:P28" si="0">+H26</f>
        <v>469.2</v>
      </c>
      <c r="I28" s="232">
        <f t="shared" si="0"/>
        <v>387.2</v>
      </c>
      <c r="J28" s="232">
        <f t="shared" si="0"/>
        <v>-82</v>
      </c>
      <c r="K28" s="16">
        <f t="shared" si="0"/>
        <v>469.2</v>
      </c>
      <c r="L28" s="232">
        <f t="shared" si="0"/>
        <v>387.2</v>
      </c>
      <c r="M28" s="407">
        <f t="shared" si="0"/>
        <v>-82</v>
      </c>
      <c r="N28" s="16">
        <f t="shared" si="0"/>
        <v>469.2</v>
      </c>
      <c r="O28" s="232">
        <f t="shared" si="0"/>
        <v>387.2</v>
      </c>
      <c r="P28" s="919">
        <f t="shared" si="0"/>
        <v>-82</v>
      </c>
      <c r="Q28" s="2645"/>
      <c r="R28" s="925" t="s">
        <v>189</v>
      </c>
      <c r="S28" s="926" t="s">
        <v>189</v>
      </c>
      <c r="T28" s="927" t="s">
        <v>189</v>
      </c>
      <c r="U28" s="2746"/>
    </row>
    <row r="29" spans="1:21" s="3" customFormat="1" ht="36.75" customHeight="1" x14ac:dyDescent="0.25">
      <c r="A29" s="2406"/>
      <c r="B29" s="2407"/>
      <c r="C29" s="713"/>
      <c r="D29" s="2472" t="s">
        <v>33</v>
      </c>
      <c r="E29" s="2483" t="s">
        <v>114</v>
      </c>
      <c r="F29" s="631"/>
      <c r="G29" s="15" t="s">
        <v>22</v>
      </c>
      <c r="H29" s="236">
        <v>77.5</v>
      </c>
      <c r="I29" s="236">
        <v>77.5</v>
      </c>
      <c r="J29" s="222"/>
      <c r="K29" s="24">
        <v>77.5</v>
      </c>
      <c r="L29" s="236">
        <v>77.5</v>
      </c>
      <c r="M29" s="222"/>
      <c r="N29" s="24">
        <v>77.5</v>
      </c>
      <c r="O29" s="236">
        <v>77.5</v>
      </c>
      <c r="P29" s="531"/>
      <c r="Q29" s="690" t="s">
        <v>105</v>
      </c>
      <c r="R29" s="355">
        <v>1260</v>
      </c>
      <c r="S29" s="103">
        <v>1260</v>
      </c>
      <c r="T29" s="365">
        <v>1260</v>
      </c>
      <c r="U29" s="741"/>
    </row>
    <row r="30" spans="1:21" s="3" customFormat="1" ht="21" customHeight="1" x14ac:dyDescent="0.25">
      <c r="A30" s="2406"/>
      <c r="B30" s="2407"/>
      <c r="C30" s="713"/>
      <c r="D30" s="2470"/>
      <c r="E30" s="2484"/>
      <c r="F30" s="631"/>
      <c r="G30" s="25" t="s">
        <v>26</v>
      </c>
      <c r="H30" s="233">
        <f>+H29</f>
        <v>77.5</v>
      </c>
      <c r="I30" s="233">
        <f>+I29</f>
        <v>77.5</v>
      </c>
      <c r="J30" s="220"/>
      <c r="K30" s="134">
        <f>+K29</f>
        <v>77.5</v>
      </c>
      <c r="L30" s="233">
        <f>+L29</f>
        <v>77.5</v>
      </c>
      <c r="M30" s="220"/>
      <c r="N30" s="134">
        <f>+N29</f>
        <v>77.5</v>
      </c>
      <c r="O30" s="233">
        <f>+O29</f>
        <v>77.5</v>
      </c>
      <c r="P30" s="340"/>
      <c r="Q30" s="96"/>
      <c r="R30" s="673"/>
      <c r="S30" s="100"/>
      <c r="T30" s="678"/>
      <c r="U30" s="742"/>
    </row>
    <row r="31" spans="1:21" s="2" customFormat="1" ht="16.5" customHeight="1" x14ac:dyDescent="0.25">
      <c r="A31" s="2406"/>
      <c r="B31" s="2407"/>
      <c r="C31" s="713"/>
      <c r="D31" s="2469" t="s">
        <v>248</v>
      </c>
      <c r="E31" s="2471" t="s">
        <v>123</v>
      </c>
      <c r="F31" s="2388"/>
      <c r="G31" s="296" t="s">
        <v>20</v>
      </c>
      <c r="H31" s="321">
        <v>289.3</v>
      </c>
      <c r="I31" s="952">
        <v>342.1</v>
      </c>
      <c r="J31" s="735">
        <f>+I31-H31</f>
        <v>52.800000000000011</v>
      </c>
      <c r="K31" s="137">
        <v>287.60000000000002</v>
      </c>
      <c r="L31" s="262">
        <v>287.60000000000002</v>
      </c>
      <c r="M31" s="247">
        <f>+L31-K31</f>
        <v>0</v>
      </c>
      <c r="N31" s="137">
        <v>71.900000000000006</v>
      </c>
      <c r="O31" s="262">
        <v>71.900000000000006</v>
      </c>
      <c r="P31" s="854"/>
      <c r="Q31" s="2469" t="s">
        <v>148</v>
      </c>
      <c r="R31" s="84">
        <v>108</v>
      </c>
      <c r="S31" s="416">
        <v>108</v>
      </c>
      <c r="T31" s="287">
        <v>108</v>
      </c>
      <c r="U31" s="2747" t="s">
        <v>262</v>
      </c>
    </row>
    <row r="32" spans="1:21" s="2" customFormat="1" ht="16.5" customHeight="1" x14ac:dyDescent="0.25">
      <c r="A32" s="2406"/>
      <c r="B32" s="2407"/>
      <c r="C32" s="713"/>
      <c r="D32" s="2469"/>
      <c r="E32" s="2471"/>
      <c r="F32" s="2388"/>
      <c r="G32" s="175" t="s">
        <v>180</v>
      </c>
      <c r="H32" s="321">
        <v>197.2</v>
      </c>
      <c r="I32" s="321">
        <v>197.2</v>
      </c>
      <c r="J32" s="949"/>
      <c r="K32" s="29"/>
      <c r="L32" s="280"/>
      <c r="M32" s="417"/>
      <c r="N32" s="29"/>
      <c r="O32" s="321"/>
      <c r="P32" s="533"/>
      <c r="Q32" s="2469"/>
      <c r="R32" s="84"/>
      <c r="S32" s="111"/>
      <c r="T32" s="287"/>
      <c r="U32" s="2748"/>
    </row>
    <row r="33" spans="1:28" s="2" customFormat="1" ht="21" customHeight="1" x14ac:dyDescent="0.25">
      <c r="A33" s="639"/>
      <c r="B33" s="637"/>
      <c r="C33" s="713"/>
      <c r="D33" s="2469"/>
      <c r="E33" s="2471"/>
      <c r="F33" s="2388"/>
      <c r="G33" s="175" t="s">
        <v>168</v>
      </c>
      <c r="H33" s="280">
        <v>44.7</v>
      </c>
      <c r="I33" s="280">
        <v>44.7</v>
      </c>
      <c r="J33" s="949"/>
      <c r="K33" s="29">
        <v>198.3</v>
      </c>
      <c r="L33" s="321">
        <v>198.3</v>
      </c>
      <c r="M33" s="417"/>
      <c r="N33" s="29">
        <v>16.600000000000001</v>
      </c>
      <c r="O33" s="321">
        <v>16.600000000000001</v>
      </c>
      <c r="P33" s="533"/>
      <c r="Q33" s="2469"/>
      <c r="R33" s="84"/>
      <c r="S33" s="111"/>
      <c r="T33" s="287"/>
      <c r="U33" s="2748"/>
      <c r="V33" s="3"/>
    </row>
    <row r="34" spans="1:28" s="2" customFormat="1" ht="17.25" customHeight="1" x14ac:dyDescent="0.25">
      <c r="A34" s="639"/>
      <c r="B34" s="637"/>
      <c r="C34" s="664"/>
      <c r="D34" s="2470"/>
      <c r="E34" s="2475"/>
      <c r="F34" s="2388"/>
      <c r="G34" s="19" t="s">
        <v>26</v>
      </c>
      <c r="H34" s="232">
        <f t="shared" ref="H34:P34" si="1">SUM(H31:H33)</f>
        <v>531.20000000000005</v>
      </c>
      <c r="I34" s="232">
        <f t="shared" si="1"/>
        <v>584</v>
      </c>
      <c r="J34" s="232">
        <f t="shared" si="1"/>
        <v>52.800000000000011</v>
      </c>
      <c r="K34" s="16">
        <f t="shared" si="1"/>
        <v>485.90000000000003</v>
      </c>
      <c r="L34" s="232">
        <f t="shared" si="1"/>
        <v>485.90000000000003</v>
      </c>
      <c r="M34" s="232">
        <f t="shared" si="1"/>
        <v>0</v>
      </c>
      <c r="N34" s="16">
        <f t="shared" si="1"/>
        <v>88.5</v>
      </c>
      <c r="O34" s="232">
        <f t="shared" si="1"/>
        <v>88.5</v>
      </c>
      <c r="P34" s="232">
        <f t="shared" si="1"/>
        <v>0</v>
      </c>
      <c r="Q34" s="636"/>
      <c r="R34" s="633"/>
      <c r="S34" s="37"/>
      <c r="T34" s="700"/>
      <c r="U34" s="2749"/>
      <c r="V34" s="3"/>
    </row>
    <row r="35" spans="1:28" s="2" customFormat="1" ht="41.25" customHeight="1" x14ac:dyDescent="0.25">
      <c r="A35" s="639"/>
      <c r="B35" s="637"/>
      <c r="C35" s="713"/>
      <c r="D35" s="2469" t="s">
        <v>176</v>
      </c>
      <c r="E35" s="2471"/>
      <c r="F35" s="2388"/>
      <c r="G35" s="175" t="s">
        <v>22</v>
      </c>
      <c r="H35" s="676">
        <v>39.200000000000003</v>
      </c>
      <c r="I35" s="676">
        <v>39.200000000000003</v>
      </c>
      <c r="J35" s="682"/>
      <c r="K35" s="798">
        <v>41.8</v>
      </c>
      <c r="L35" s="804">
        <v>41.8</v>
      </c>
      <c r="M35" s="894"/>
      <c r="N35" s="873">
        <v>41.8</v>
      </c>
      <c r="O35" s="892">
        <v>41.8</v>
      </c>
      <c r="P35" s="343"/>
      <c r="Q35" s="418" t="s">
        <v>190</v>
      </c>
      <c r="R35" s="502">
        <v>6</v>
      </c>
      <c r="S35" s="400">
        <v>6</v>
      </c>
      <c r="T35" s="401">
        <v>6</v>
      </c>
      <c r="U35" s="745"/>
      <c r="AB35" s="3"/>
    </row>
    <row r="36" spans="1:28" s="2" customFormat="1" ht="23.25" customHeight="1" x14ac:dyDescent="0.25">
      <c r="A36" s="639"/>
      <c r="B36" s="637"/>
      <c r="C36" s="713"/>
      <c r="D36" s="2469"/>
      <c r="E36" s="2471"/>
      <c r="F36" s="2388"/>
      <c r="G36" s="296"/>
      <c r="H36" s="677"/>
      <c r="I36" s="677"/>
      <c r="J36" s="683"/>
      <c r="K36" s="799"/>
      <c r="L36" s="805"/>
      <c r="M36" s="895"/>
      <c r="N36" s="874"/>
      <c r="O36" s="893"/>
      <c r="P36" s="356"/>
      <c r="Q36" s="2370" t="s">
        <v>235</v>
      </c>
      <c r="R36" s="503">
        <v>10</v>
      </c>
      <c r="S36" s="185">
        <v>10</v>
      </c>
      <c r="T36" s="419">
        <v>10</v>
      </c>
      <c r="U36" s="746"/>
    </row>
    <row r="37" spans="1:28" s="2" customFormat="1" ht="17.25" customHeight="1" x14ac:dyDescent="0.25">
      <c r="A37" s="639"/>
      <c r="B37" s="637"/>
      <c r="C37" s="664"/>
      <c r="D37" s="2470"/>
      <c r="E37" s="2471"/>
      <c r="F37" s="2388"/>
      <c r="G37" s="19" t="s">
        <v>26</v>
      </c>
      <c r="H37" s="421">
        <f>SUM(H35:H36)</f>
        <v>39.200000000000003</v>
      </c>
      <c r="I37" s="421">
        <f>SUM(I35:I36)</f>
        <v>39.200000000000003</v>
      </c>
      <c r="J37" s="422"/>
      <c r="K37" s="420">
        <f>SUM(K35:K36)</f>
        <v>41.8</v>
      </c>
      <c r="L37" s="421">
        <f>SUM(L35:L36)</f>
        <v>41.8</v>
      </c>
      <c r="M37" s="422"/>
      <c r="N37" s="420">
        <f>SUM(N35:N36)</f>
        <v>41.8</v>
      </c>
      <c r="O37" s="421">
        <f>SUM(O35:O36)</f>
        <v>41.8</v>
      </c>
      <c r="P37" s="534"/>
      <c r="Q37" s="2371"/>
      <c r="R37" s="708"/>
      <c r="S37" s="423"/>
      <c r="T37" s="424"/>
      <c r="U37" s="747"/>
    </row>
    <row r="38" spans="1:28" s="2" customFormat="1" ht="27.75" customHeight="1" x14ac:dyDescent="0.25">
      <c r="A38" s="639"/>
      <c r="B38" s="637"/>
      <c r="C38" s="713"/>
      <c r="D38" s="2472" t="s">
        <v>177</v>
      </c>
      <c r="E38" s="2471"/>
      <c r="F38" s="2388"/>
      <c r="G38" s="176" t="s">
        <v>37</v>
      </c>
      <c r="H38" s="676">
        <v>157.4</v>
      </c>
      <c r="I38" s="676">
        <v>157.4</v>
      </c>
      <c r="J38" s="682"/>
      <c r="K38" s="798">
        <v>157.4</v>
      </c>
      <c r="L38" s="804">
        <v>157.4</v>
      </c>
      <c r="M38" s="894"/>
      <c r="N38" s="873">
        <v>157.4</v>
      </c>
      <c r="O38" s="892">
        <v>157.4</v>
      </c>
      <c r="P38" s="343"/>
      <c r="Q38" s="2370" t="s">
        <v>178</v>
      </c>
      <c r="R38" s="503">
        <v>30</v>
      </c>
      <c r="S38" s="467">
        <v>30</v>
      </c>
      <c r="T38" s="419">
        <v>30</v>
      </c>
      <c r="U38" s="746"/>
    </row>
    <row r="39" spans="1:28" s="2" customFormat="1" ht="17.25" customHeight="1" x14ac:dyDescent="0.25">
      <c r="A39" s="796"/>
      <c r="B39" s="795"/>
      <c r="C39" s="797"/>
      <c r="D39" s="2470"/>
      <c r="E39" s="2471"/>
      <c r="F39" s="2388"/>
      <c r="G39" s="19" t="s">
        <v>26</v>
      </c>
      <c r="H39" s="421">
        <f>SUM(H38:H38)</f>
        <v>157.4</v>
      </c>
      <c r="I39" s="421">
        <f>SUM(I38:I38)</f>
        <v>157.4</v>
      </c>
      <c r="J39" s="422"/>
      <c r="K39" s="420">
        <f>SUM(K38:K38)</f>
        <v>157.4</v>
      </c>
      <c r="L39" s="421">
        <f>SUM(L38:L38)</f>
        <v>157.4</v>
      </c>
      <c r="M39" s="422"/>
      <c r="N39" s="420">
        <f>SUM(N38:N38)</f>
        <v>157.4</v>
      </c>
      <c r="O39" s="421">
        <f>SUM(O38:O38)</f>
        <v>157.4</v>
      </c>
      <c r="P39" s="534"/>
      <c r="Q39" s="2371"/>
      <c r="R39" s="708"/>
      <c r="S39" s="423"/>
      <c r="T39" s="424"/>
      <c r="U39" s="747"/>
    </row>
    <row r="40" spans="1:28" s="2" customFormat="1" ht="64.5" customHeight="1" x14ac:dyDescent="0.25">
      <c r="A40" s="639"/>
      <c r="B40" s="637"/>
      <c r="C40" s="713"/>
      <c r="D40" s="357" t="s">
        <v>191</v>
      </c>
      <c r="E40" s="208"/>
      <c r="F40" s="536"/>
      <c r="G40" s="211"/>
      <c r="H40" s="571"/>
      <c r="I40" s="571"/>
      <c r="J40" s="572"/>
      <c r="K40" s="570"/>
      <c r="L40" s="571"/>
      <c r="M40" s="572"/>
      <c r="N40" s="570"/>
      <c r="O40" s="571"/>
      <c r="P40" s="812"/>
      <c r="Q40" s="498" t="s">
        <v>192</v>
      </c>
      <c r="R40" s="505">
        <v>2500</v>
      </c>
      <c r="S40" s="425">
        <v>2500</v>
      </c>
      <c r="T40" s="426">
        <v>2500</v>
      </c>
      <c r="U40" s="748"/>
      <c r="X40" s="3"/>
    </row>
    <row r="41" spans="1:28" s="2" customFormat="1" ht="53.25" customHeight="1" x14ac:dyDescent="0.25">
      <c r="A41" s="639"/>
      <c r="B41" s="637"/>
      <c r="C41" s="713"/>
      <c r="D41" s="2354" t="s">
        <v>228</v>
      </c>
      <c r="E41" s="208"/>
      <c r="F41" s="536"/>
      <c r="G41" s="398"/>
      <c r="H41" s="596"/>
      <c r="I41" s="596"/>
      <c r="J41" s="428"/>
      <c r="K41" s="427"/>
      <c r="L41" s="596"/>
      <c r="M41" s="428"/>
      <c r="N41" s="427"/>
      <c r="O41" s="596"/>
      <c r="P41" s="813"/>
      <c r="Q41" s="499" t="s">
        <v>192</v>
      </c>
      <c r="R41" s="707">
        <v>2500</v>
      </c>
      <c r="S41" s="404">
        <v>2500</v>
      </c>
      <c r="T41" s="429">
        <v>2500</v>
      </c>
      <c r="U41" s="749"/>
    </row>
    <row r="42" spans="1:28" s="2" customFormat="1" ht="17.25" customHeight="1" thickBot="1" x14ac:dyDescent="0.3">
      <c r="A42" s="642"/>
      <c r="B42" s="643"/>
      <c r="C42" s="714"/>
      <c r="D42" s="2433"/>
      <c r="E42" s="2352" t="s">
        <v>34</v>
      </c>
      <c r="F42" s="2353"/>
      <c r="G42" s="2633"/>
      <c r="H42" s="237">
        <f t="shared" ref="H42:P42" si="2">H34+H30+H28+H25+H23+H21+H37+H39</f>
        <v>7556.2999999999993</v>
      </c>
      <c r="I42" s="237">
        <f t="shared" si="2"/>
        <v>8363.5</v>
      </c>
      <c r="J42" s="237">
        <f t="shared" si="2"/>
        <v>807.20000000000027</v>
      </c>
      <c r="K42" s="30">
        <f t="shared" si="2"/>
        <v>7910.1</v>
      </c>
      <c r="L42" s="237">
        <f t="shared" si="2"/>
        <v>7828.1</v>
      </c>
      <c r="M42" s="237">
        <f t="shared" si="2"/>
        <v>-82</v>
      </c>
      <c r="N42" s="30">
        <f t="shared" si="2"/>
        <v>7512.7</v>
      </c>
      <c r="O42" s="237">
        <f t="shared" si="2"/>
        <v>7430.7</v>
      </c>
      <c r="P42" s="237">
        <f t="shared" si="2"/>
        <v>-82</v>
      </c>
      <c r="Q42" s="500"/>
      <c r="R42" s="506"/>
      <c r="S42" s="372"/>
      <c r="T42" s="201"/>
      <c r="U42" s="750"/>
      <c r="V42" s="3"/>
    </row>
    <row r="43" spans="1:28" s="3" customFormat="1" ht="64.5" customHeight="1" x14ac:dyDescent="0.25">
      <c r="A43" s="2406" t="s">
        <v>15</v>
      </c>
      <c r="B43" s="2407" t="s">
        <v>15</v>
      </c>
      <c r="C43" s="2463" t="s">
        <v>35</v>
      </c>
      <c r="D43" s="2288" t="s">
        <v>36</v>
      </c>
      <c r="E43" s="2465"/>
      <c r="F43" s="2467" t="s">
        <v>19</v>
      </c>
      <c r="G43" s="10" t="s">
        <v>37</v>
      </c>
      <c r="H43" s="238">
        <v>13213.2</v>
      </c>
      <c r="I43" s="238">
        <v>13213.2</v>
      </c>
      <c r="J43" s="224"/>
      <c r="K43" s="27">
        <v>12529</v>
      </c>
      <c r="L43" s="238">
        <v>12529</v>
      </c>
      <c r="M43" s="224"/>
      <c r="N43" s="27">
        <v>12529</v>
      </c>
      <c r="O43" s="238">
        <v>12529</v>
      </c>
      <c r="P43" s="362"/>
      <c r="Q43" s="717" t="s">
        <v>38</v>
      </c>
      <c r="R43" s="711">
        <v>6800</v>
      </c>
      <c r="S43" s="101">
        <v>6800</v>
      </c>
      <c r="T43" s="691">
        <v>6800</v>
      </c>
      <c r="U43" s="751"/>
    </row>
    <row r="44" spans="1:28" s="3" customFormat="1" ht="16.5" customHeight="1" thickBot="1" x14ac:dyDescent="0.3">
      <c r="A44" s="2450"/>
      <c r="B44" s="2452"/>
      <c r="C44" s="2464"/>
      <c r="D44" s="2433"/>
      <c r="E44" s="2466"/>
      <c r="F44" s="2468"/>
      <c r="G44" s="32" t="s">
        <v>26</v>
      </c>
      <c r="H44" s="237">
        <f>+H43</f>
        <v>13213.2</v>
      </c>
      <c r="I44" s="237">
        <f>+I43</f>
        <v>13213.2</v>
      </c>
      <c r="J44" s="237">
        <f>+J43</f>
        <v>0</v>
      </c>
      <c r="K44" s="30">
        <f>+K43</f>
        <v>12529</v>
      </c>
      <c r="L44" s="237">
        <f>+L43</f>
        <v>12529</v>
      </c>
      <c r="M44" s="223"/>
      <c r="N44" s="30">
        <f>+N43</f>
        <v>12529</v>
      </c>
      <c r="O44" s="237">
        <f>+O43</f>
        <v>12529</v>
      </c>
      <c r="P44" s="347"/>
      <c r="Q44" s="97"/>
      <c r="R44" s="712"/>
      <c r="S44" s="373"/>
      <c r="T44" s="692"/>
      <c r="U44" s="752"/>
    </row>
    <row r="45" spans="1:28" s="3" customFormat="1" ht="19.5" customHeight="1" x14ac:dyDescent="0.25">
      <c r="A45" s="651" t="s">
        <v>15</v>
      </c>
      <c r="B45" s="6" t="s">
        <v>15</v>
      </c>
      <c r="C45" s="171" t="s">
        <v>39</v>
      </c>
      <c r="D45" s="2432" t="s">
        <v>40</v>
      </c>
      <c r="E45" s="196"/>
      <c r="F45" s="105" t="s">
        <v>19</v>
      </c>
      <c r="G45" s="688" t="s">
        <v>37</v>
      </c>
      <c r="H45" s="239">
        <v>13641.4</v>
      </c>
      <c r="I45" s="239">
        <v>13641.4</v>
      </c>
      <c r="J45" s="225"/>
      <c r="K45" s="133">
        <v>2514.1999999999998</v>
      </c>
      <c r="L45" s="239">
        <v>2514.1999999999998</v>
      </c>
      <c r="M45" s="225"/>
      <c r="N45" s="133">
        <v>2514.1999999999998</v>
      </c>
      <c r="O45" s="239">
        <v>2514.1999999999998</v>
      </c>
      <c r="P45" s="449"/>
      <c r="Q45" s="2638" t="s">
        <v>38</v>
      </c>
      <c r="R45" s="2753">
        <v>5868</v>
      </c>
      <c r="S45" s="2755">
        <v>5868</v>
      </c>
      <c r="T45" s="2689">
        <v>5869</v>
      </c>
      <c r="U45" s="2665"/>
    </row>
    <row r="46" spans="1:28" s="3" customFormat="1" ht="16.5" customHeight="1" thickBot="1" x14ac:dyDescent="0.3">
      <c r="A46" s="642"/>
      <c r="B46" s="34"/>
      <c r="C46" s="645"/>
      <c r="D46" s="2433"/>
      <c r="E46" s="35"/>
      <c r="F46" s="648"/>
      <c r="G46" s="32" t="s">
        <v>26</v>
      </c>
      <c r="H46" s="237">
        <f>+H45</f>
        <v>13641.4</v>
      </c>
      <c r="I46" s="237">
        <f>+I45</f>
        <v>13641.4</v>
      </c>
      <c r="J46" s="237">
        <f>+J45</f>
        <v>0</v>
      </c>
      <c r="K46" s="30">
        <f>+K45</f>
        <v>2514.1999999999998</v>
      </c>
      <c r="L46" s="237">
        <f>+L45</f>
        <v>2514.1999999999998</v>
      </c>
      <c r="M46" s="223"/>
      <c r="N46" s="30">
        <f>+N45</f>
        <v>2514.1999999999998</v>
      </c>
      <c r="O46" s="237">
        <f>+O45</f>
        <v>2514.1999999999998</v>
      </c>
      <c r="P46" s="347"/>
      <c r="Q46" s="2639"/>
      <c r="R46" s="2754"/>
      <c r="S46" s="2756"/>
      <c r="T46" s="2690"/>
      <c r="U46" s="2666"/>
    </row>
    <row r="47" spans="1:28" s="2" customFormat="1" ht="96" customHeight="1" x14ac:dyDescent="0.25">
      <c r="A47" s="941" t="s">
        <v>15</v>
      </c>
      <c r="B47" s="2451" t="s">
        <v>15</v>
      </c>
      <c r="C47" s="2453" t="s">
        <v>41</v>
      </c>
      <c r="D47" s="2432" t="s">
        <v>170</v>
      </c>
      <c r="E47" s="196"/>
      <c r="F47" s="662" t="s">
        <v>19</v>
      </c>
      <c r="G47" s="36" t="s">
        <v>22</v>
      </c>
      <c r="H47" s="240">
        <v>452.2</v>
      </c>
      <c r="I47" s="950">
        <f>452.2+36</f>
        <v>488.2</v>
      </c>
      <c r="J47" s="951">
        <f>+I47-H47</f>
        <v>36</v>
      </c>
      <c r="K47" s="115">
        <v>401.2</v>
      </c>
      <c r="L47" s="240">
        <v>401.2</v>
      </c>
      <c r="M47" s="226"/>
      <c r="N47" s="115">
        <v>401.2</v>
      </c>
      <c r="O47" s="240">
        <v>401.2</v>
      </c>
      <c r="P47" s="489"/>
      <c r="Q47" s="2640" t="s">
        <v>171</v>
      </c>
      <c r="R47" s="2680" t="s">
        <v>263</v>
      </c>
      <c r="S47" s="2682">
        <v>350</v>
      </c>
      <c r="T47" s="696">
        <v>350</v>
      </c>
      <c r="U47" s="2658" t="s">
        <v>264</v>
      </c>
    </row>
    <row r="48" spans="1:28" s="3" customFormat="1" ht="16.5" customHeight="1" thickBot="1" x14ac:dyDescent="0.3">
      <c r="A48" s="940"/>
      <c r="B48" s="2452"/>
      <c r="C48" s="2455"/>
      <c r="D48" s="2433"/>
      <c r="E48" s="35"/>
      <c r="F48" s="648"/>
      <c r="G48" s="32" t="s">
        <v>26</v>
      </c>
      <c r="H48" s="237">
        <f>+H47</f>
        <v>452.2</v>
      </c>
      <c r="I48" s="237">
        <f>+I47</f>
        <v>488.2</v>
      </c>
      <c r="J48" s="237">
        <f>+J47</f>
        <v>36</v>
      </c>
      <c r="K48" s="30">
        <f>+K47</f>
        <v>401.2</v>
      </c>
      <c r="L48" s="237">
        <f>+L47</f>
        <v>401.2</v>
      </c>
      <c r="M48" s="223"/>
      <c r="N48" s="30">
        <f>+N47</f>
        <v>401.2</v>
      </c>
      <c r="O48" s="237">
        <f>+O47</f>
        <v>401.2</v>
      </c>
      <c r="P48" s="347"/>
      <c r="Q48" s="2641"/>
      <c r="R48" s="2681"/>
      <c r="S48" s="2683"/>
      <c r="T48" s="697"/>
      <c r="U48" s="2672"/>
    </row>
    <row r="49" spans="1:22" s="2" customFormat="1" ht="41.25" customHeight="1" x14ac:dyDescent="0.25">
      <c r="A49" s="2449" t="s">
        <v>15</v>
      </c>
      <c r="B49" s="2451" t="s">
        <v>15</v>
      </c>
      <c r="C49" s="2453" t="s">
        <v>42</v>
      </c>
      <c r="D49" s="2432" t="s">
        <v>219</v>
      </c>
      <c r="E49" s="196"/>
      <c r="F49" s="662" t="s">
        <v>19</v>
      </c>
      <c r="G49" s="36" t="s">
        <v>20</v>
      </c>
      <c r="H49" s="266">
        <v>238.4</v>
      </c>
      <c r="I49" s="266">
        <v>238.4</v>
      </c>
      <c r="J49" s="250"/>
      <c r="K49" s="206">
        <v>238.4</v>
      </c>
      <c r="L49" s="266">
        <v>238.4</v>
      </c>
      <c r="M49" s="250"/>
      <c r="N49" s="206">
        <v>238.4</v>
      </c>
      <c r="O49" s="266">
        <v>238.4</v>
      </c>
      <c r="P49" s="250"/>
      <c r="Q49" s="556" t="s">
        <v>217</v>
      </c>
      <c r="R49" s="478">
        <v>200</v>
      </c>
      <c r="S49" s="480">
        <v>200</v>
      </c>
      <c r="T49" s="476">
        <v>200</v>
      </c>
      <c r="U49" s="753"/>
      <c r="V49" s="3"/>
    </row>
    <row r="50" spans="1:22" s="2" customFormat="1" ht="24" customHeight="1" x14ac:dyDescent="0.25">
      <c r="A50" s="2406"/>
      <c r="B50" s="2407"/>
      <c r="C50" s="2454"/>
      <c r="D50" s="2288"/>
      <c r="E50" s="37"/>
      <c r="F50" s="69"/>
      <c r="G50" s="209"/>
      <c r="H50" s="259"/>
      <c r="I50" s="259"/>
      <c r="J50" s="244"/>
      <c r="K50" s="59"/>
      <c r="L50" s="259"/>
      <c r="M50" s="327"/>
      <c r="N50" s="59"/>
      <c r="O50" s="259"/>
      <c r="P50" s="244"/>
      <c r="Q50" s="2555" t="s">
        <v>218</v>
      </c>
      <c r="R50" s="479">
        <v>50</v>
      </c>
      <c r="S50" s="481">
        <v>50</v>
      </c>
      <c r="T50" s="477">
        <v>50</v>
      </c>
      <c r="U50" s="754"/>
    </row>
    <row r="51" spans="1:22" s="3" customFormat="1" ht="16.5" customHeight="1" thickBot="1" x14ac:dyDescent="0.3">
      <c r="A51" s="2450"/>
      <c r="B51" s="2452"/>
      <c r="C51" s="2455"/>
      <c r="D51" s="2433"/>
      <c r="E51" s="35"/>
      <c r="F51" s="648"/>
      <c r="G51" s="32" t="s">
        <v>26</v>
      </c>
      <c r="H51" s="237">
        <f>+H49</f>
        <v>238.4</v>
      </c>
      <c r="I51" s="237">
        <f>+I49</f>
        <v>238.4</v>
      </c>
      <c r="J51" s="223"/>
      <c r="K51" s="30">
        <f>+K49</f>
        <v>238.4</v>
      </c>
      <c r="L51" s="237">
        <f>+L49</f>
        <v>238.4</v>
      </c>
      <c r="M51" s="347"/>
      <c r="N51" s="30">
        <f>+N49</f>
        <v>238.4</v>
      </c>
      <c r="O51" s="237">
        <f>+O49</f>
        <v>238.4</v>
      </c>
      <c r="P51" s="839"/>
      <c r="Q51" s="2637"/>
      <c r="R51" s="507"/>
      <c r="S51" s="475"/>
      <c r="T51" s="697"/>
      <c r="U51" s="755"/>
    </row>
    <row r="52" spans="1:22" s="2" customFormat="1" ht="16.5" customHeight="1" thickBot="1" x14ac:dyDescent="0.3">
      <c r="A52" s="577" t="s">
        <v>15</v>
      </c>
      <c r="B52" s="5" t="s">
        <v>15</v>
      </c>
      <c r="C52" s="2458" t="s">
        <v>43</v>
      </c>
      <c r="D52" s="2459"/>
      <c r="E52" s="2459"/>
      <c r="F52" s="2459"/>
      <c r="G52" s="2460"/>
      <c r="H52" s="282">
        <f t="shared" ref="H52:I52" si="3">H48+H46+H44+H42+H51</f>
        <v>35101.500000000007</v>
      </c>
      <c r="I52" s="282">
        <f t="shared" si="3"/>
        <v>35944.700000000004</v>
      </c>
      <c r="J52" s="282">
        <f>J48+J46+J44+J42+J51</f>
        <v>843.20000000000027</v>
      </c>
      <c r="K52" s="85">
        <f t="shared" ref="K52" si="4">K48+K46+K44+K42+K51</f>
        <v>23592.9</v>
      </c>
      <c r="L52" s="282">
        <f t="shared" ref="L52:M52" si="5">L48+L46+L44+L42+L51</f>
        <v>23510.9</v>
      </c>
      <c r="M52" s="282">
        <f t="shared" si="5"/>
        <v>-82</v>
      </c>
      <c r="N52" s="85">
        <f>N48+N46+N44+N42+N51</f>
        <v>23195.5</v>
      </c>
      <c r="O52" s="282">
        <f t="shared" ref="O52" si="6">O48+O46+O44+O42+O51</f>
        <v>23113.5</v>
      </c>
      <c r="P52" s="282">
        <f>P48+P46+P44+P42+P51</f>
        <v>-82</v>
      </c>
      <c r="Q52" s="2333"/>
      <c r="R52" s="2334"/>
      <c r="S52" s="2334"/>
      <c r="T52" s="2334"/>
      <c r="U52" s="2335"/>
    </row>
    <row r="53" spans="1:22" s="2" customFormat="1" ht="16.5" customHeight="1" thickBot="1" x14ac:dyDescent="0.3">
      <c r="A53" s="578" t="s">
        <v>15</v>
      </c>
      <c r="B53" s="5" t="s">
        <v>35</v>
      </c>
      <c r="C53" s="2366" t="s">
        <v>44</v>
      </c>
      <c r="D53" s="2366"/>
      <c r="E53" s="2366"/>
      <c r="F53" s="2366"/>
      <c r="G53" s="2366"/>
      <c r="H53" s="2366"/>
      <c r="I53" s="2366"/>
      <c r="J53" s="2366"/>
      <c r="K53" s="2366"/>
      <c r="L53" s="2366"/>
      <c r="M53" s="2366"/>
      <c r="N53" s="2366"/>
      <c r="O53" s="2366"/>
      <c r="P53" s="2366"/>
      <c r="Q53" s="2366"/>
      <c r="R53" s="2366"/>
      <c r="S53" s="2366"/>
      <c r="T53" s="2366"/>
      <c r="U53" s="2367"/>
    </row>
    <row r="54" spans="1:22" s="3" customFormat="1" ht="16.5" customHeight="1" x14ac:dyDescent="0.25">
      <c r="A54" s="651" t="s">
        <v>15</v>
      </c>
      <c r="B54" s="652" t="s">
        <v>35</v>
      </c>
      <c r="C54" s="40" t="s">
        <v>15</v>
      </c>
      <c r="D54" s="2289" t="s">
        <v>45</v>
      </c>
      <c r="E54" s="2735" t="s">
        <v>120</v>
      </c>
      <c r="F54" s="403">
        <v>3</v>
      </c>
      <c r="G54" s="210" t="s">
        <v>22</v>
      </c>
      <c r="H54" s="227">
        <v>4187.2</v>
      </c>
      <c r="I54" s="953">
        <f>4187.2+154</f>
        <v>4341.2</v>
      </c>
      <c r="J54" s="954">
        <f>+I54-H54</f>
        <v>154</v>
      </c>
      <c r="K54" s="44">
        <v>3983.5</v>
      </c>
      <c r="L54" s="227">
        <v>3983.5</v>
      </c>
      <c r="M54" s="325"/>
      <c r="N54" s="298">
        <v>3981.9</v>
      </c>
      <c r="O54" s="227">
        <v>3981.9</v>
      </c>
      <c r="P54" s="298"/>
      <c r="Q54" s="184"/>
      <c r="R54" s="514"/>
      <c r="S54" s="374"/>
      <c r="T54" s="386"/>
      <c r="U54" s="2739" t="s">
        <v>269</v>
      </c>
    </row>
    <row r="55" spans="1:22" s="3" customFormat="1" ht="16.5" customHeight="1" x14ac:dyDescent="0.25">
      <c r="A55" s="639"/>
      <c r="B55" s="637"/>
      <c r="C55" s="178"/>
      <c r="D55" s="2290"/>
      <c r="E55" s="2736"/>
      <c r="F55" s="289"/>
      <c r="G55" s="204" t="s">
        <v>46</v>
      </c>
      <c r="H55" s="256">
        <v>648.4</v>
      </c>
      <c r="I55" s="955">
        <v>668.3</v>
      </c>
      <c r="J55" s="956">
        <f>+I55-H55</f>
        <v>19.899999999999977</v>
      </c>
      <c r="K55" s="180">
        <v>648.4</v>
      </c>
      <c r="L55" s="256">
        <v>648.4</v>
      </c>
      <c r="M55" s="330"/>
      <c r="N55" s="323">
        <v>648.4</v>
      </c>
      <c r="O55" s="256">
        <v>648.4</v>
      </c>
      <c r="P55" s="323"/>
      <c r="Q55" s="538"/>
      <c r="R55" s="504"/>
      <c r="S55" s="366"/>
      <c r="T55" s="469"/>
      <c r="U55" s="2678"/>
    </row>
    <row r="56" spans="1:22" s="3" customFormat="1" ht="16.5" customHeight="1" x14ac:dyDescent="0.25">
      <c r="A56" s="639"/>
      <c r="B56" s="637"/>
      <c r="C56" s="178"/>
      <c r="D56" s="706"/>
      <c r="E56" s="2736"/>
      <c r="F56" s="289"/>
      <c r="G56" s="204" t="s">
        <v>94</v>
      </c>
      <c r="H56" s="279">
        <v>70.5</v>
      </c>
      <c r="I56" s="279">
        <v>70.5</v>
      </c>
      <c r="J56" s="323"/>
      <c r="K56" s="180"/>
      <c r="L56" s="256"/>
      <c r="M56" s="330"/>
      <c r="N56" s="323"/>
      <c r="O56" s="256"/>
      <c r="P56" s="330"/>
      <c r="Q56" s="538"/>
      <c r="R56" s="504"/>
      <c r="S56" s="366"/>
      <c r="T56" s="469"/>
      <c r="U56" s="2678"/>
    </row>
    <row r="57" spans="1:22" s="3" customFormat="1" ht="16.5" customHeight="1" x14ac:dyDescent="0.25">
      <c r="A57" s="639"/>
      <c r="B57" s="637"/>
      <c r="C57" s="178"/>
      <c r="D57" s="706"/>
      <c r="E57" s="2736"/>
      <c r="F57" s="289"/>
      <c r="G57" s="186" t="s">
        <v>20</v>
      </c>
      <c r="H57" s="257">
        <v>254.3</v>
      </c>
      <c r="I57" s="257">
        <v>254.3</v>
      </c>
      <c r="J57" s="323"/>
      <c r="K57" s="807">
        <v>113.3</v>
      </c>
      <c r="L57" s="257">
        <v>113.3</v>
      </c>
      <c r="M57" s="326"/>
      <c r="N57" s="242">
        <v>111.6</v>
      </c>
      <c r="O57" s="257">
        <v>111.6</v>
      </c>
      <c r="P57" s="242"/>
      <c r="Q57" s="538"/>
      <c r="R57" s="504"/>
      <c r="S57" s="366"/>
      <c r="T57" s="469"/>
      <c r="U57" s="2678"/>
    </row>
    <row r="58" spans="1:22" s="3" customFormat="1" ht="16.5" customHeight="1" x14ac:dyDescent="0.25">
      <c r="A58" s="639"/>
      <c r="B58" s="637"/>
      <c r="C58" s="178"/>
      <c r="D58" s="706"/>
      <c r="E58" s="2736"/>
      <c r="F58" s="289"/>
      <c r="G58" s="508" t="s">
        <v>169</v>
      </c>
      <c r="H58" s="256">
        <v>69.5</v>
      </c>
      <c r="I58" s="256">
        <v>69.5</v>
      </c>
      <c r="J58" s="323"/>
      <c r="K58" s="180"/>
      <c r="L58" s="256"/>
      <c r="M58" s="330"/>
      <c r="N58" s="323"/>
      <c r="O58" s="256"/>
      <c r="P58" s="323"/>
      <c r="Q58" s="538"/>
      <c r="R58" s="504"/>
      <c r="S58" s="366"/>
      <c r="T58" s="469"/>
      <c r="U58" s="2678"/>
    </row>
    <row r="59" spans="1:22" s="3" customFormat="1" ht="16.5" customHeight="1" x14ac:dyDescent="0.25">
      <c r="A59" s="639"/>
      <c r="B59" s="637"/>
      <c r="C59" s="178"/>
      <c r="D59" s="706"/>
      <c r="E59" s="2736"/>
      <c r="F59" s="289"/>
      <c r="G59" s="175" t="s">
        <v>63</v>
      </c>
      <c r="H59" s="257">
        <v>30.3</v>
      </c>
      <c r="I59" s="257">
        <v>30.3</v>
      </c>
      <c r="J59" s="242"/>
      <c r="K59" s="807">
        <v>18.600000000000001</v>
      </c>
      <c r="L59" s="257">
        <v>18.600000000000001</v>
      </c>
      <c r="M59" s="326"/>
      <c r="N59" s="242"/>
      <c r="O59" s="257"/>
      <c r="P59" s="242"/>
      <c r="Q59" s="538"/>
      <c r="R59" s="504"/>
      <c r="S59" s="366"/>
      <c r="T59" s="469"/>
      <c r="U59" s="2678"/>
    </row>
    <row r="60" spans="1:22" s="3" customFormat="1" ht="16.5" customHeight="1" x14ac:dyDescent="0.25">
      <c r="A60" s="639"/>
      <c r="B60" s="637"/>
      <c r="C60" s="178"/>
      <c r="D60" s="706"/>
      <c r="E60" s="2736"/>
      <c r="F60" s="289"/>
      <c r="G60" s="176" t="s">
        <v>63</v>
      </c>
      <c r="H60" s="256">
        <v>50.3</v>
      </c>
      <c r="I60" s="256">
        <v>50.3</v>
      </c>
      <c r="J60" s="323"/>
      <c r="K60" s="180">
        <v>43.1</v>
      </c>
      <c r="L60" s="256">
        <v>43.1</v>
      </c>
      <c r="M60" s="330"/>
      <c r="N60" s="323">
        <v>43.1</v>
      </c>
      <c r="O60" s="256">
        <v>43.1</v>
      </c>
      <c r="P60" s="323"/>
      <c r="Q60" s="538"/>
      <c r="R60" s="504"/>
      <c r="S60" s="366"/>
      <c r="T60" s="469"/>
      <c r="U60" s="2678"/>
    </row>
    <row r="61" spans="1:22" s="3" customFormat="1" ht="16.5" customHeight="1" x14ac:dyDescent="0.25">
      <c r="A61" s="639"/>
      <c r="B61" s="637"/>
      <c r="C61" s="178"/>
      <c r="D61" s="706"/>
      <c r="E61" s="2736"/>
      <c r="F61" s="289"/>
      <c r="G61" s="537" t="s">
        <v>37</v>
      </c>
      <c r="H61" s="257">
        <v>190.7</v>
      </c>
      <c r="I61" s="257">
        <v>190.7</v>
      </c>
      <c r="J61" s="242"/>
      <c r="K61" s="807">
        <v>153.5</v>
      </c>
      <c r="L61" s="257">
        <v>153.5</v>
      </c>
      <c r="M61" s="326"/>
      <c r="N61" s="242">
        <v>153.5</v>
      </c>
      <c r="O61" s="257">
        <v>153.5</v>
      </c>
      <c r="P61" s="242"/>
      <c r="Q61" s="538"/>
      <c r="R61" s="504"/>
      <c r="S61" s="366"/>
      <c r="T61" s="469"/>
      <c r="U61" s="2678"/>
    </row>
    <row r="62" spans="1:22" s="3" customFormat="1" ht="16.5" customHeight="1" x14ac:dyDescent="0.25">
      <c r="A62" s="639"/>
      <c r="B62" s="637"/>
      <c r="C62" s="178"/>
      <c r="D62" s="706"/>
      <c r="E62" s="2736"/>
      <c r="F62" s="289"/>
      <c r="G62" s="179" t="s">
        <v>47</v>
      </c>
      <c r="H62" s="256">
        <v>3</v>
      </c>
      <c r="I62" s="256">
        <v>3</v>
      </c>
      <c r="J62" s="323"/>
      <c r="K62" s="180">
        <v>3</v>
      </c>
      <c r="L62" s="256">
        <v>3</v>
      </c>
      <c r="M62" s="330"/>
      <c r="N62" s="323">
        <v>3</v>
      </c>
      <c r="O62" s="256">
        <v>3</v>
      </c>
      <c r="P62" s="323"/>
      <c r="Q62" s="538"/>
      <c r="R62" s="504"/>
      <c r="S62" s="366"/>
      <c r="T62" s="469"/>
      <c r="U62" s="2679"/>
    </row>
    <row r="63" spans="1:22" s="3" customFormat="1" ht="30" customHeight="1" x14ac:dyDescent="0.25">
      <c r="A63" s="639"/>
      <c r="B63" s="637"/>
      <c r="C63" s="713"/>
      <c r="D63" s="666" t="s">
        <v>152</v>
      </c>
      <c r="E63" s="2736"/>
      <c r="F63" s="289"/>
      <c r="G63" s="205"/>
      <c r="H63" s="321"/>
      <c r="I63" s="321"/>
      <c r="J63" s="417"/>
      <c r="K63" s="29"/>
      <c r="L63" s="321"/>
      <c r="M63" s="533"/>
      <c r="N63" s="417"/>
      <c r="O63" s="321"/>
      <c r="P63" s="533"/>
      <c r="Q63" s="182" t="s">
        <v>93</v>
      </c>
      <c r="R63" s="501">
        <v>82</v>
      </c>
      <c r="S63" s="18">
        <v>82</v>
      </c>
      <c r="T63" s="396">
        <v>82</v>
      </c>
      <c r="U63" s="756"/>
    </row>
    <row r="64" spans="1:22" s="3" customFormat="1" ht="15.75" customHeight="1" x14ac:dyDescent="0.25">
      <c r="A64" s="639"/>
      <c r="B64" s="637"/>
      <c r="C64" s="713"/>
      <c r="D64" s="2331" t="s">
        <v>175</v>
      </c>
      <c r="E64" s="2736"/>
      <c r="F64" s="289"/>
      <c r="G64" s="537"/>
      <c r="H64" s="618"/>
      <c r="I64" s="618"/>
      <c r="J64" s="617"/>
      <c r="K64" s="14"/>
      <c r="L64" s="230"/>
      <c r="M64" s="535"/>
      <c r="N64" s="14"/>
      <c r="O64" s="230"/>
      <c r="P64" s="535"/>
      <c r="Q64" s="2737" t="s">
        <v>181</v>
      </c>
      <c r="R64" s="501">
        <v>60</v>
      </c>
      <c r="S64" s="18">
        <v>60</v>
      </c>
      <c r="T64" s="430"/>
      <c r="U64" s="756"/>
    </row>
    <row r="65" spans="1:21" s="3" customFormat="1" ht="54" customHeight="1" x14ac:dyDescent="0.25">
      <c r="A65" s="639"/>
      <c r="B65" s="637"/>
      <c r="C65" s="713"/>
      <c r="D65" s="2331"/>
      <c r="E65" s="2736"/>
      <c r="F65" s="289"/>
      <c r="G65" s="186"/>
      <c r="H65" s="230"/>
      <c r="I65" s="230"/>
      <c r="J65" s="217"/>
      <c r="K65" s="14"/>
      <c r="L65" s="230"/>
      <c r="M65" s="535"/>
      <c r="N65" s="14"/>
      <c r="O65" s="230"/>
      <c r="P65" s="535"/>
      <c r="Q65" s="2738"/>
      <c r="R65" s="515"/>
      <c r="S65" s="433"/>
      <c r="T65" s="493"/>
      <c r="U65" s="757"/>
    </row>
    <row r="66" spans="1:21" s="3" customFormat="1" ht="29.25" customHeight="1" x14ac:dyDescent="0.25">
      <c r="A66" s="639"/>
      <c r="B66" s="637"/>
      <c r="C66" s="713"/>
      <c r="D66" s="349" t="s">
        <v>231</v>
      </c>
      <c r="E66" s="2736"/>
      <c r="F66" s="289"/>
      <c r="G66" s="186"/>
      <c r="H66" s="230"/>
      <c r="I66" s="230"/>
      <c r="J66" s="217"/>
      <c r="K66" s="14"/>
      <c r="L66" s="230"/>
      <c r="M66" s="535"/>
      <c r="N66" s="14"/>
      <c r="O66" s="230"/>
      <c r="P66" s="535"/>
      <c r="Q66" s="482" t="s">
        <v>196</v>
      </c>
      <c r="R66" s="312" t="s">
        <v>197</v>
      </c>
      <c r="S66" s="313" t="s">
        <v>197</v>
      </c>
      <c r="T66" s="314" t="s">
        <v>197</v>
      </c>
      <c r="U66" s="758"/>
    </row>
    <row r="67" spans="1:21" s="3" customFormat="1" ht="41.25" customHeight="1" x14ac:dyDescent="0.25">
      <c r="A67" s="639"/>
      <c r="B67" s="637"/>
      <c r="C67" s="713"/>
      <c r="D67" s="188"/>
      <c r="E67" s="161"/>
      <c r="F67" s="289"/>
      <c r="G67" s="186"/>
      <c r="H67" s="597"/>
      <c r="I67" s="597"/>
      <c r="J67" s="496"/>
      <c r="K67" s="625"/>
      <c r="L67" s="597"/>
      <c r="M67" s="611"/>
      <c r="N67" s="625"/>
      <c r="O67" s="597"/>
      <c r="P67" s="611"/>
      <c r="Q67" s="439" t="s">
        <v>236</v>
      </c>
      <c r="R67" s="516" t="s">
        <v>134</v>
      </c>
      <c r="S67" s="440" t="s">
        <v>134</v>
      </c>
      <c r="T67" s="441" t="s">
        <v>134</v>
      </c>
      <c r="U67" s="759"/>
    </row>
    <row r="68" spans="1:21" s="3" customFormat="1" ht="27" customHeight="1" x14ac:dyDescent="0.25">
      <c r="A68" s="639"/>
      <c r="B68" s="637"/>
      <c r="C68" s="713"/>
      <c r="D68" s="649"/>
      <c r="E68" s="161"/>
      <c r="F68" s="289"/>
      <c r="G68" s="186"/>
      <c r="H68" s="259"/>
      <c r="I68" s="259"/>
      <c r="J68" s="244"/>
      <c r="K68" s="59"/>
      <c r="L68" s="259"/>
      <c r="M68" s="327"/>
      <c r="N68" s="59"/>
      <c r="O68" s="259"/>
      <c r="P68" s="327"/>
      <c r="Q68" s="436" t="s">
        <v>194</v>
      </c>
      <c r="R68" s="517">
        <v>250</v>
      </c>
      <c r="S68" s="437">
        <v>250</v>
      </c>
      <c r="T68" s="438">
        <v>250</v>
      </c>
      <c r="U68" s="760"/>
    </row>
    <row r="69" spans="1:21" s="3" customFormat="1" ht="45.75" customHeight="1" x14ac:dyDescent="0.25">
      <c r="A69" s="639"/>
      <c r="B69" s="637"/>
      <c r="C69" s="713"/>
      <c r="D69" s="649"/>
      <c r="E69" s="161"/>
      <c r="F69" s="289"/>
      <c r="G69" s="181"/>
      <c r="H69" s="259"/>
      <c r="I69" s="259"/>
      <c r="J69" s="244"/>
      <c r="K69" s="59"/>
      <c r="L69" s="259"/>
      <c r="M69" s="327"/>
      <c r="N69" s="59"/>
      <c r="O69" s="259"/>
      <c r="P69" s="327"/>
      <c r="Q69" s="485" t="s">
        <v>195</v>
      </c>
      <c r="R69" s="486" t="s">
        <v>193</v>
      </c>
      <c r="S69" s="487" t="s">
        <v>193</v>
      </c>
      <c r="T69" s="488" t="s">
        <v>193</v>
      </c>
      <c r="U69" s="761"/>
    </row>
    <row r="70" spans="1:21" s="3" customFormat="1" ht="43.5" customHeight="1" x14ac:dyDescent="0.25">
      <c r="A70" s="639"/>
      <c r="B70" s="637"/>
      <c r="C70" s="664"/>
      <c r="D70" s="675" t="s">
        <v>167</v>
      </c>
      <c r="E70" s="161"/>
      <c r="F70" s="289"/>
      <c r="G70" s="186"/>
      <c r="H70" s="259"/>
      <c r="I70" s="259"/>
      <c r="J70" s="244"/>
      <c r="K70" s="59"/>
      <c r="L70" s="259"/>
      <c r="M70" s="327"/>
      <c r="N70" s="59"/>
      <c r="O70" s="259"/>
      <c r="P70" s="327"/>
      <c r="Q70" s="539" t="s">
        <v>146</v>
      </c>
      <c r="R70" s="540" t="s">
        <v>101</v>
      </c>
      <c r="S70" s="541" t="s">
        <v>101</v>
      </c>
      <c r="T70" s="542" t="s">
        <v>101</v>
      </c>
      <c r="U70" s="762"/>
    </row>
    <row r="71" spans="1:21" s="3" customFormat="1" ht="42" customHeight="1" x14ac:dyDescent="0.25">
      <c r="A71" s="796"/>
      <c r="B71" s="795"/>
      <c r="C71" s="797"/>
      <c r="D71" s="675" t="s">
        <v>166</v>
      </c>
      <c r="E71" s="161"/>
      <c r="F71" s="289"/>
      <c r="G71" s="509"/>
      <c r="H71" s="260"/>
      <c r="I71" s="260"/>
      <c r="J71" s="245"/>
      <c r="K71" s="625"/>
      <c r="L71" s="597"/>
      <c r="M71" s="611"/>
      <c r="N71" s="625"/>
      <c r="O71" s="597"/>
      <c r="P71" s="611"/>
      <c r="Q71" s="626" t="s">
        <v>146</v>
      </c>
      <c r="R71" s="312" t="s">
        <v>19</v>
      </c>
      <c r="S71" s="313" t="s">
        <v>19</v>
      </c>
      <c r="T71" s="314"/>
      <c r="U71" s="758"/>
    </row>
    <row r="72" spans="1:21" s="3" customFormat="1" ht="21" customHeight="1" x14ac:dyDescent="0.25">
      <c r="A72" s="639"/>
      <c r="B72" s="637"/>
      <c r="C72" s="713"/>
      <c r="D72" s="2331" t="s">
        <v>198</v>
      </c>
      <c r="E72" s="161"/>
      <c r="F72" s="289"/>
      <c r="G72" s="509"/>
      <c r="H72" s="260"/>
      <c r="I72" s="260"/>
      <c r="J72" s="245"/>
      <c r="K72" s="144"/>
      <c r="L72" s="260"/>
      <c r="M72" s="331"/>
      <c r="N72" s="144"/>
      <c r="O72" s="260"/>
      <c r="P72" s="331"/>
      <c r="Q72" s="2556" t="s">
        <v>199</v>
      </c>
      <c r="R72" s="518" t="s">
        <v>133</v>
      </c>
      <c r="S72" s="483" t="s">
        <v>19</v>
      </c>
      <c r="T72" s="387"/>
      <c r="U72" s="763"/>
    </row>
    <row r="73" spans="1:21" s="3" customFormat="1" ht="21" customHeight="1" x14ac:dyDescent="0.25">
      <c r="A73" s="639"/>
      <c r="B73" s="637"/>
      <c r="C73" s="713"/>
      <c r="D73" s="2331"/>
      <c r="E73" s="161"/>
      <c r="F73" s="289"/>
      <c r="G73" s="509"/>
      <c r="H73" s="260"/>
      <c r="I73" s="260"/>
      <c r="J73" s="245"/>
      <c r="K73" s="144"/>
      <c r="L73" s="260"/>
      <c r="M73" s="331"/>
      <c r="N73" s="144"/>
      <c r="O73" s="260"/>
      <c r="P73" s="331"/>
      <c r="Q73" s="2556"/>
      <c r="R73" s="518"/>
      <c r="S73" s="483"/>
      <c r="T73" s="387"/>
      <c r="U73" s="763"/>
    </row>
    <row r="74" spans="1:21" s="3" customFormat="1" ht="41.25" customHeight="1" x14ac:dyDescent="0.25">
      <c r="A74" s="639"/>
      <c r="B74" s="637"/>
      <c r="C74" s="664"/>
      <c r="D74" s="349" t="s">
        <v>153</v>
      </c>
      <c r="E74" s="161"/>
      <c r="F74" s="289"/>
      <c r="G74" s="186"/>
      <c r="H74" s="230"/>
      <c r="I74" s="230"/>
      <c r="J74" s="217"/>
      <c r="K74" s="27"/>
      <c r="L74" s="238"/>
      <c r="M74" s="362"/>
      <c r="N74" s="27"/>
      <c r="O74" s="238"/>
      <c r="P74" s="362"/>
      <c r="Q74" s="546" t="s">
        <v>203</v>
      </c>
      <c r="R74" s="519" t="s">
        <v>200</v>
      </c>
      <c r="S74" s="443" t="s">
        <v>200</v>
      </c>
      <c r="T74" s="444" t="s">
        <v>200</v>
      </c>
      <c r="U74" s="764"/>
    </row>
    <row r="75" spans="1:21" s="3" customFormat="1" ht="33" customHeight="1" x14ac:dyDescent="0.25">
      <c r="A75" s="639"/>
      <c r="B75" s="637"/>
      <c r="C75" s="713"/>
      <c r="D75" s="188"/>
      <c r="E75" s="161"/>
      <c r="F75" s="289"/>
      <c r="G75" s="186"/>
      <c r="H75" s="230"/>
      <c r="I75" s="230"/>
      <c r="J75" s="217"/>
      <c r="K75" s="27"/>
      <c r="L75" s="238"/>
      <c r="M75" s="362"/>
      <c r="N75" s="27"/>
      <c r="O75" s="238"/>
      <c r="P75" s="362"/>
      <c r="Q75" s="546" t="s">
        <v>204</v>
      </c>
      <c r="R75" s="519" t="s">
        <v>201</v>
      </c>
      <c r="S75" s="443" t="s">
        <v>201</v>
      </c>
      <c r="T75" s="444" t="s">
        <v>201</v>
      </c>
      <c r="U75" s="764"/>
    </row>
    <row r="76" spans="1:21" s="3" customFormat="1" ht="44.25" customHeight="1" x14ac:dyDescent="0.25">
      <c r="A76" s="639"/>
      <c r="B76" s="637"/>
      <c r="C76" s="713"/>
      <c r="D76" s="322"/>
      <c r="E76" s="161"/>
      <c r="F76" s="289"/>
      <c r="G76" s="186"/>
      <c r="H76" s="230"/>
      <c r="I76" s="230"/>
      <c r="J76" s="217"/>
      <c r="K76" s="27"/>
      <c r="L76" s="238"/>
      <c r="M76" s="362"/>
      <c r="N76" s="27"/>
      <c r="O76" s="238"/>
      <c r="P76" s="362"/>
      <c r="Q76" s="546" t="s">
        <v>205</v>
      </c>
      <c r="R76" s="519" t="s">
        <v>202</v>
      </c>
      <c r="S76" s="443" t="s">
        <v>202</v>
      </c>
      <c r="T76" s="444" t="s">
        <v>202</v>
      </c>
      <c r="U76" s="764"/>
    </row>
    <row r="77" spans="1:21" s="3" customFormat="1" ht="30.75" customHeight="1" x14ac:dyDescent="0.25">
      <c r="A77" s="639"/>
      <c r="B77" s="637"/>
      <c r="C77" s="664"/>
      <c r="D77" s="646" t="s">
        <v>48</v>
      </c>
      <c r="E77" s="161"/>
      <c r="F77" s="290"/>
      <c r="G77" s="186"/>
      <c r="H77" s="262"/>
      <c r="I77" s="262"/>
      <c r="J77" s="247"/>
      <c r="K77" s="128"/>
      <c r="L77" s="263"/>
      <c r="M77" s="816"/>
      <c r="N77" s="128"/>
      <c r="O77" s="263"/>
      <c r="P77" s="816"/>
      <c r="Q77" s="636" t="s">
        <v>207</v>
      </c>
      <c r="R77" s="21" t="s">
        <v>206</v>
      </c>
      <c r="S77" s="22" t="s">
        <v>206</v>
      </c>
      <c r="T77" s="23" t="s">
        <v>206</v>
      </c>
      <c r="U77" s="765"/>
    </row>
    <row r="78" spans="1:21" s="3" customFormat="1" ht="42.75" customHeight="1" x14ac:dyDescent="0.25">
      <c r="A78" s="639"/>
      <c r="B78" s="637"/>
      <c r="C78" s="713"/>
      <c r="D78" s="661" t="s">
        <v>138</v>
      </c>
      <c r="E78" s="161"/>
      <c r="F78" s="290"/>
      <c r="G78" s="543"/>
      <c r="H78" s="598"/>
      <c r="I78" s="598"/>
      <c r="J78" s="544"/>
      <c r="K78" s="137"/>
      <c r="L78" s="262"/>
      <c r="M78" s="811"/>
      <c r="N78" s="137"/>
      <c r="O78" s="262"/>
      <c r="P78" s="811"/>
      <c r="Q78" s="448" t="s">
        <v>208</v>
      </c>
      <c r="R78" s="658">
        <v>12</v>
      </c>
      <c r="S78" s="659">
        <v>12</v>
      </c>
      <c r="T78" s="660">
        <v>12</v>
      </c>
      <c r="U78" s="766"/>
    </row>
    <row r="79" spans="1:21" s="3" customFormat="1" ht="39.75" customHeight="1" x14ac:dyDescent="0.25">
      <c r="A79" s="639"/>
      <c r="B79" s="637"/>
      <c r="C79" s="713"/>
      <c r="D79" s="2288" t="s">
        <v>139</v>
      </c>
      <c r="E79" s="161"/>
      <c r="F79" s="290"/>
      <c r="G79" s="543"/>
      <c r="H79" s="598"/>
      <c r="I79" s="598"/>
      <c r="J79" s="544"/>
      <c r="K79" s="137"/>
      <c r="L79" s="262"/>
      <c r="M79" s="811"/>
      <c r="N79" s="137"/>
      <c r="O79" s="262"/>
      <c r="P79" s="811"/>
      <c r="Q79" s="448" t="s">
        <v>237</v>
      </c>
      <c r="R79" s="658">
        <v>12</v>
      </c>
      <c r="S79" s="659">
        <v>12</v>
      </c>
      <c r="T79" s="660">
        <v>12</v>
      </c>
      <c r="U79" s="766"/>
    </row>
    <row r="80" spans="1:21" s="3" customFormat="1" ht="41.25" customHeight="1" x14ac:dyDescent="0.25">
      <c r="A80" s="639"/>
      <c r="B80" s="637"/>
      <c r="C80" s="713"/>
      <c r="D80" s="2288"/>
      <c r="E80" s="161"/>
      <c r="F80" s="290"/>
      <c r="G80" s="509"/>
      <c r="H80" s="260"/>
      <c r="I80" s="260"/>
      <c r="J80" s="245"/>
      <c r="K80" s="144"/>
      <c r="L80" s="260"/>
      <c r="M80" s="331"/>
      <c r="N80" s="144"/>
      <c r="O80" s="260"/>
      <c r="P80" s="331"/>
      <c r="Q80" s="448" t="s">
        <v>238</v>
      </c>
      <c r="R80" s="658">
        <v>1</v>
      </c>
      <c r="S80" s="659">
        <v>0.75</v>
      </c>
      <c r="T80" s="660">
        <v>0.75</v>
      </c>
      <c r="U80" s="766"/>
    </row>
    <row r="81" spans="1:22" s="3" customFormat="1" ht="31.5" customHeight="1" x14ac:dyDescent="0.25">
      <c r="A81" s="639"/>
      <c r="B81" s="637"/>
      <c r="C81" s="713"/>
      <c r="D81" s="2288"/>
      <c r="E81" s="161"/>
      <c r="F81" s="290"/>
      <c r="G81" s="509"/>
      <c r="H81" s="260"/>
      <c r="I81" s="260"/>
      <c r="J81" s="245"/>
      <c r="K81" s="144"/>
      <c r="L81" s="260"/>
      <c r="M81" s="331"/>
      <c r="N81" s="144"/>
      <c r="O81" s="260"/>
      <c r="P81" s="331"/>
      <c r="Q81" s="638" t="s">
        <v>240</v>
      </c>
      <c r="R81" s="355">
        <v>130</v>
      </c>
      <c r="S81" s="364">
        <v>130</v>
      </c>
      <c r="T81" s="365">
        <v>130</v>
      </c>
      <c r="U81" s="767"/>
    </row>
    <row r="82" spans="1:22" s="3" customFormat="1" ht="20.25" customHeight="1" x14ac:dyDescent="0.25">
      <c r="A82" s="639"/>
      <c r="B82" s="637"/>
      <c r="C82" s="713"/>
      <c r="D82" s="2288" t="s">
        <v>149</v>
      </c>
      <c r="E82" s="161"/>
      <c r="F82" s="290"/>
      <c r="G82" s="186"/>
      <c r="H82" s="260"/>
      <c r="I82" s="260"/>
      <c r="J82" s="245"/>
      <c r="K82" s="144"/>
      <c r="L82" s="260"/>
      <c r="M82" s="331"/>
      <c r="N82" s="144"/>
      <c r="O82" s="260"/>
      <c r="P82" s="331"/>
      <c r="Q82" s="2733" t="s">
        <v>150</v>
      </c>
      <c r="R82" s="355">
        <v>104</v>
      </c>
      <c r="S82" s="364">
        <v>104</v>
      </c>
      <c r="T82" s="365"/>
      <c r="U82" s="767"/>
    </row>
    <row r="83" spans="1:22" s="3" customFormat="1" ht="21.75" customHeight="1" x14ac:dyDescent="0.25">
      <c r="A83" s="639"/>
      <c r="B83" s="637"/>
      <c r="C83" s="713"/>
      <c r="D83" s="2288"/>
      <c r="E83" s="161"/>
      <c r="F83" s="290"/>
      <c r="G83" s="186"/>
      <c r="H83" s="260"/>
      <c r="I83" s="260"/>
      <c r="J83" s="245"/>
      <c r="K83" s="144"/>
      <c r="L83" s="260"/>
      <c r="M83" s="331"/>
      <c r="N83" s="144"/>
      <c r="O83" s="260"/>
      <c r="P83" s="331"/>
      <c r="Q83" s="2734"/>
      <c r="R83" s="711"/>
      <c r="S83" s="695"/>
      <c r="T83" s="691"/>
      <c r="U83" s="768"/>
    </row>
    <row r="84" spans="1:22" s="3" customFormat="1" ht="16.5" customHeight="1" x14ac:dyDescent="0.25">
      <c r="A84" s="639"/>
      <c r="B84" s="637"/>
      <c r="C84" s="664"/>
      <c r="D84" s="2354" t="s">
        <v>154</v>
      </c>
      <c r="E84" s="161"/>
      <c r="F84" s="290"/>
      <c r="G84" s="186"/>
      <c r="H84" s="262"/>
      <c r="I84" s="262"/>
      <c r="J84" s="247"/>
      <c r="K84" s="128"/>
      <c r="L84" s="263"/>
      <c r="M84" s="816"/>
      <c r="N84" s="128"/>
      <c r="O84" s="263"/>
      <c r="P84" s="816"/>
      <c r="Q84" s="53" t="s">
        <v>93</v>
      </c>
      <c r="R84" s="658">
        <v>174</v>
      </c>
      <c r="S84" s="659">
        <v>174</v>
      </c>
      <c r="T84" s="660">
        <v>174</v>
      </c>
      <c r="U84" s="766"/>
    </row>
    <row r="85" spans="1:22" s="3" customFormat="1" ht="29.25" customHeight="1" x14ac:dyDescent="0.25">
      <c r="A85" s="639"/>
      <c r="B85" s="637"/>
      <c r="C85" s="713"/>
      <c r="D85" s="2374"/>
      <c r="E85" s="161"/>
      <c r="F85" s="290"/>
      <c r="G85" s="186"/>
      <c r="H85" s="262"/>
      <c r="I85" s="262"/>
      <c r="J85" s="247"/>
      <c r="K85" s="128"/>
      <c r="L85" s="263"/>
      <c r="M85" s="816"/>
      <c r="N85" s="128"/>
      <c r="O85" s="263"/>
      <c r="P85" s="816"/>
      <c r="Q85" s="53" t="s">
        <v>209</v>
      </c>
      <c r="R85" s="658">
        <v>55</v>
      </c>
      <c r="S85" s="659">
        <v>55</v>
      </c>
      <c r="T85" s="660">
        <v>55</v>
      </c>
      <c r="U85" s="766"/>
    </row>
    <row r="86" spans="1:22" s="3" customFormat="1" ht="15" customHeight="1" x14ac:dyDescent="0.25">
      <c r="A86" s="639"/>
      <c r="B86" s="637"/>
      <c r="C86" s="713"/>
      <c r="D86" s="2434" t="s">
        <v>155</v>
      </c>
      <c r="E86" s="161"/>
      <c r="F86" s="290"/>
      <c r="G86" s="186"/>
      <c r="H86" s="230"/>
      <c r="I86" s="230"/>
      <c r="J86" s="217"/>
      <c r="K86" s="27"/>
      <c r="L86" s="238"/>
      <c r="M86" s="362"/>
      <c r="N86" s="27"/>
      <c r="O86" s="238"/>
      <c r="P86" s="362"/>
      <c r="Q86" s="717" t="s">
        <v>210</v>
      </c>
      <c r="R86" s="711">
        <v>35</v>
      </c>
      <c r="S86" s="695">
        <v>35</v>
      </c>
      <c r="T86" s="691">
        <v>35</v>
      </c>
      <c r="U86" s="768"/>
    </row>
    <row r="87" spans="1:22" s="3" customFormat="1" ht="15" customHeight="1" x14ac:dyDescent="0.25">
      <c r="A87" s="639"/>
      <c r="B87" s="637"/>
      <c r="C87" s="713"/>
      <c r="D87" s="2434"/>
      <c r="E87" s="402"/>
      <c r="F87" s="290"/>
      <c r="G87" s="186"/>
      <c r="H87" s="230"/>
      <c r="I87" s="230"/>
      <c r="J87" s="217"/>
      <c r="K87" s="27"/>
      <c r="L87" s="238"/>
      <c r="M87" s="362"/>
      <c r="N87" s="27"/>
      <c r="O87" s="238"/>
      <c r="P87" s="362"/>
      <c r="Q87" s="717"/>
      <c r="R87" s="711"/>
      <c r="S87" s="695"/>
      <c r="T87" s="691"/>
      <c r="U87" s="768"/>
    </row>
    <row r="88" spans="1:22" s="3" customFormat="1" ht="29.25" customHeight="1" x14ac:dyDescent="0.25">
      <c r="A88" s="639"/>
      <c r="B88" s="637"/>
      <c r="C88" s="664"/>
      <c r="D88" s="98" t="s">
        <v>156</v>
      </c>
      <c r="E88" s="402"/>
      <c r="F88" s="290"/>
      <c r="G88" s="186"/>
      <c r="H88" s="230"/>
      <c r="I88" s="230"/>
      <c r="J88" s="217"/>
      <c r="K88" s="824"/>
      <c r="L88" s="825"/>
      <c r="M88" s="817"/>
      <c r="N88" s="824"/>
      <c r="O88" s="825"/>
      <c r="P88" s="817"/>
      <c r="Q88" s="53" t="s">
        <v>150</v>
      </c>
      <c r="R88" s="658">
        <v>40</v>
      </c>
      <c r="S88" s="659">
        <v>40</v>
      </c>
      <c r="T88" s="660">
        <v>40</v>
      </c>
      <c r="U88" s="766"/>
    </row>
    <row r="89" spans="1:22" s="3" customFormat="1" ht="14.25" customHeight="1" x14ac:dyDescent="0.25">
      <c r="A89" s="639"/>
      <c r="B89" s="637"/>
      <c r="C89" s="713"/>
      <c r="D89" s="661"/>
      <c r="E89" s="124"/>
      <c r="F89" s="290"/>
      <c r="G89" s="186"/>
      <c r="H89" s="230"/>
      <c r="I89" s="230"/>
      <c r="J89" s="217"/>
      <c r="K89" s="824"/>
      <c r="L89" s="825"/>
      <c r="M89" s="817"/>
      <c r="N89" s="824"/>
      <c r="O89" s="825"/>
      <c r="P89" s="817"/>
      <c r="Q89" s="2649" t="s">
        <v>239</v>
      </c>
      <c r="R89" s="2673">
        <v>22</v>
      </c>
      <c r="S89" s="2655">
        <v>22</v>
      </c>
      <c r="T89" s="2657">
        <v>22</v>
      </c>
      <c r="U89" s="768"/>
    </row>
    <row r="90" spans="1:22" s="3" customFormat="1" ht="14.25" customHeight="1" x14ac:dyDescent="0.25">
      <c r="A90" s="639"/>
      <c r="B90" s="637"/>
      <c r="C90" s="713"/>
      <c r="D90" s="54"/>
      <c r="E90" s="124"/>
      <c r="F90" s="290"/>
      <c r="G90" s="186"/>
      <c r="H90" s="230"/>
      <c r="I90" s="230"/>
      <c r="J90" s="217"/>
      <c r="K90" s="824"/>
      <c r="L90" s="825"/>
      <c r="M90" s="817"/>
      <c r="N90" s="824"/>
      <c r="O90" s="825"/>
      <c r="P90" s="817"/>
      <c r="Q90" s="2740"/>
      <c r="R90" s="2674"/>
      <c r="S90" s="2675"/>
      <c r="T90" s="2691"/>
      <c r="U90" s="769"/>
    </row>
    <row r="91" spans="1:22" s="3" customFormat="1" ht="27.75" customHeight="1" x14ac:dyDescent="0.25">
      <c r="A91" s="639"/>
      <c r="B91" s="637"/>
      <c r="C91" s="713"/>
      <c r="D91" s="646" t="s">
        <v>49</v>
      </c>
      <c r="E91" s="124"/>
      <c r="F91" s="290"/>
      <c r="G91" s="186"/>
      <c r="H91" s="262"/>
      <c r="I91" s="262"/>
      <c r="J91" s="247"/>
      <c r="K91" s="52"/>
      <c r="L91" s="261"/>
      <c r="M91" s="328"/>
      <c r="N91" s="52"/>
      <c r="O91" s="261"/>
      <c r="P91" s="328"/>
      <c r="Q91" s="432" t="s">
        <v>210</v>
      </c>
      <c r="R91" s="711">
        <v>45</v>
      </c>
      <c r="S91" s="695">
        <v>45</v>
      </c>
      <c r="T91" s="691">
        <v>45</v>
      </c>
      <c r="U91" s="768"/>
    </row>
    <row r="92" spans="1:22" s="43" customFormat="1" ht="44.25" customHeight="1" x14ac:dyDescent="0.25">
      <c r="A92" s="579"/>
      <c r="B92" s="637"/>
      <c r="C92" s="42"/>
      <c r="D92" s="194" t="s">
        <v>142</v>
      </c>
      <c r="E92" s="124"/>
      <c r="F92" s="290"/>
      <c r="G92" s="10"/>
      <c r="H92" s="264"/>
      <c r="I92" s="264"/>
      <c r="J92" s="246"/>
      <c r="K92" s="52"/>
      <c r="L92" s="261"/>
      <c r="M92" s="328"/>
      <c r="N92" s="246"/>
      <c r="O92" s="261"/>
      <c r="P92" s="328"/>
      <c r="Q92" s="288" t="s">
        <v>211</v>
      </c>
      <c r="R92" s="355">
        <v>5</v>
      </c>
      <c r="S92" s="545">
        <v>5</v>
      </c>
      <c r="T92" s="365">
        <v>5</v>
      </c>
      <c r="U92" s="770"/>
    </row>
    <row r="93" spans="1:22" s="43" customFormat="1" ht="17.25" customHeight="1" thickBot="1" x14ac:dyDescent="0.3">
      <c r="A93" s="580"/>
      <c r="B93" s="643"/>
      <c r="C93" s="297"/>
      <c r="D93" s="2352" t="s">
        <v>34</v>
      </c>
      <c r="E93" s="2353"/>
      <c r="F93" s="2353"/>
      <c r="G93" s="2633"/>
      <c r="H93" s="619">
        <f>SUM(H54:H92)-H78-H79</f>
        <v>5504.2</v>
      </c>
      <c r="I93" s="619">
        <f>SUM(I54:I92)-I78-I79</f>
        <v>5678.1</v>
      </c>
      <c r="J93" s="619">
        <f>SUM(J54:J92)-J78-J79</f>
        <v>173.89999999999998</v>
      </c>
      <c r="K93" s="603">
        <f>SUM(K54:K92)-K78-K79</f>
        <v>4963.4000000000005</v>
      </c>
      <c r="L93" s="619">
        <f>SUM(L54:L92)-L78-L79</f>
        <v>4963.4000000000005</v>
      </c>
      <c r="M93" s="818"/>
      <c r="N93" s="604">
        <f>SUM(N54:N92)-N78-N79</f>
        <v>4941.5000000000009</v>
      </c>
      <c r="O93" s="619">
        <f>SUM(O54:O92)-O78-O79</f>
        <v>4941.5000000000009</v>
      </c>
      <c r="P93" s="604"/>
      <c r="Q93" s="510"/>
      <c r="R93" s="712"/>
      <c r="S93" s="405"/>
      <c r="T93" s="692"/>
      <c r="U93" s="771"/>
    </row>
    <row r="94" spans="1:22" s="45" customFormat="1" ht="53.25" customHeight="1" x14ac:dyDescent="0.25">
      <c r="A94" s="2422" t="s">
        <v>15</v>
      </c>
      <c r="B94" s="2424" t="s">
        <v>35</v>
      </c>
      <c r="C94" s="2426" t="s">
        <v>35</v>
      </c>
      <c r="D94" s="2397" t="s">
        <v>50</v>
      </c>
      <c r="E94" s="2428" t="s">
        <v>121</v>
      </c>
      <c r="F94" s="2430" t="s">
        <v>19</v>
      </c>
      <c r="G94" s="861" t="s">
        <v>22</v>
      </c>
      <c r="H94" s="266">
        <v>417.7</v>
      </c>
      <c r="I94" s="957">
        <v>427.7</v>
      </c>
      <c r="J94" s="958">
        <f>+I94-H94</f>
        <v>10</v>
      </c>
      <c r="K94" s="206">
        <v>380</v>
      </c>
      <c r="L94" s="266">
        <v>380</v>
      </c>
      <c r="M94" s="453"/>
      <c r="N94" s="206">
        <v>380</v>
      </c>
      <c r="O94" s="266">
        <v>380</v>
      </c>
      <c r="P94" s="453"/>
      <c r="Q94" s="2727" t="s">
        <v>106</v>
      </c>
      <c r="R94" s="959" t="s">
        <v>266</v>
      </c>
      <c r="S94" s="454">
        <v>78</v>
      </c>
      <c r="T94" s="455">
        <v>78</v>
      </c>
      <c r="U94" s="2667" t="s">
        <v>265</v>
      </c>
      <c r="V94" s="48"/>
    </row>
    <row r="95" spans="1:22" s="48" customFormat="1" ht="16.5" customHeight="1" thickBot="1" x14ac:dyDescent="0.3">
      <c r="A95" s="2423"/>
      <c r="B95" s="2425"/>
      <c r="C95" s="2427"/>
      <c r="D95" s="2398"/>
      <c r="E95" s="2429"/>
      <c r="F95" s="2431"/>
      <c r="G95" s="46" t="s">
        <v>26</v>
      </c>
      <c r="H95" s="335">
        <f>SUM(H94)</f>
        <v>417.7</v>
      </c>
      <c r="I95" s="335">
        <f>SUM(I94)</f>
        <v>427.7</v>
      </c>
      <c r="J95" s="335">
        <f>SUM(J94)</f>
        <v>10</v>
      </c>
      <c r="K95" s="334">
        <f>SUM(K94)</f>
        <v>380</v>
      </c>
      <c r="L95" s="335">
        <f>SUM(L94)</f>
        <v>380</v>
      </c>
      <c r="M95" s="350"/>
      <c r="N95" s="334">
        <f>SUM(N94)</f>
        <v>380</v>
      </c>
      <c r="O95" s="335">
        <f>SUM(O94)</f>
        <v>380</v>
      </c>
      <c r="P95" s="350"/>
      <c r="Q95" s="2728"/>
      <c r="R95" s="348"/>
      <c r="S95" s="368"/>
      <c r="T95" s="435"/>
      <c r="U95" s="2668"/>
    </row>
    <row r="96" spans="1:22" s="2" customFormat="1" ht="42" customHeight="1" x14ac:dyDescent="0.25">
      <c r="A96" s="581" t="s">
        <v>15</v>
      </c>
      <c r="B96" s="49" t="s">
        <v>35</v>
      </c>
      <c r="C96" s="171" t="s">
        <v>39</v>
      </c>
      <c r="D96" s="2729" t="s">
        <v>51</v>
      </c>
      <c r="E96" s="885"/>
      <c r="F96" s="877" t="s">
        <v>19</v>
      </c>
      <c r="G96" s="861" t="s">
        <v>22</v>
      </c>
      <c r="H96" s="704">
        <f>695.8-119.9</f>
        <v>575.9</v>
      </c>
      <c r="I96" s="960">
        <v>560.9</v>
      </c>
      <c r="J96" s="961">
        <f>+I96-H96</f>
        <v>-15</v>
      </c>
      <c r="K96" s="601">
        <v>695.8</v>
      </c>
      <c r="L96" s="704">
        <v>695.8</v>
      </c>
      <c r="M96" s="819"/>
      <c r="N96" s="601">
        <v>695.8</v>
      </c>
      <c r="O96" s="704">
        <v>695.8</v>
      </c>
      <c r="P96" s="819"/>
      <c r="Q96" s="656"/>
      <c r="R96" s="520"/>
      <c r="S96" s="385"/>
      <c r="T96" s="107"/>
      <c r="U96" s="2697" t="s">
        <v>267</v>
      </c>
    </row>
    <row r="97" spans="1:27" s="2" customFormat="1" ht="53.25" customHeight="1" x14ac:dyDescent="0.25">
      <c r="A97" s="582"/>
      <c r="B97" s="51"/>
      <c r="C97" s="644"/>
      <c r="D97" s="2730"/>
      <c r="E97" s="897"/>
      <c r="F97" s="878"/>
      <c r="G97" s="685"/>
      <c r="H97" s="612"/>
      <c r="I97" s="612"/>
      <c r="J97" s="871"/>
      <c r="K97" s="715"/>
      <c r="L97" s="261"/>
      <c r="M97" s="328"/>
      <c r="N97" s="52"/>
      <c r="O97" s="261"/>
      <c r="P97" s="328"/>
      <c r="Q97" s="452"/>
      <c r="R97" s="352"/>
      <c r="S97" s="635"/>
      <c r="T97" s="701"/>
      <c r="U97" s="2698"/>
      <c r="AA97" s="3"/>
    </row>
    <row r="98" spans="1:27" s="2" customFormat="1" ht="66.75" customHeight="1" x14ac:dyDescent="0.25">
      <c r="A98" s="582"/>
      <c r="B98" s="51"/>
      <c r="C98" s="703"/>
      <c r="D98" s="41" t="s">
        <v>97</v>
      </c>
      <c r="E98" s="702"/>
      <c r="F98" s="58"/>
      <c r="G98" s="685"/>
      <c r="H98" s="263"/>
      <c r="I98" s="263"/>
      <c r="J98" s="248"/>
      <c r="K98" s="128"/>
      <c r="L98" s="263"/>
      <c r="M98" s="816"/>
      <c r="N98" s="128"/>
      <c r="O98" s="263"/>
      <c r="P98" s="816"/>
      <c r="Q98" s="456" t="s">
        <v>233</v>
      </c>
      <c r="R98" s="521" t="s">
        <v>133</v>
      </c>
      <c r="S98" s="414" t="s">
        <v>133</v>
      </c>
      <c r="T98" s="20" t="s">
        <v>133</v>
      </c>
      <c r="U98" s="988"/>
      <c r="Y98" s="3"/>
    </row>
    <row r="99" spans="1:27" s="2" customFormat="1" ht="62.25" customHeight="1" x14ac:dyDescent="0.25">
      <c r="A99" s="582"/>
      <c r="B99" s="51"/>
      <c r="C99" s="703"/>
      <c r="D99" s="26" t="s">
        <v>98</v>
      </c>
      <c r="E99" s="363" t="s">
        <v>124</v>
      </c>
      <c r="F99" s="58"/>
      <c r="G99" s="685"/>
      <c r="H99" s="261"/>
      <c r="I99" s="261"/>
      <c r="J99" s="246"/>
      <c r="K99" s="52"/>
      <c r="L99" s="261"/>
      <c r="M99" s="328"/>
      <c r="N99" s="52"/>
      <c r="O99" s="261"/>
      <c r="P99" s="328"/>
      <c r="Q99" s="559" t="s">
        <v>212</v>
      </c>
      <c r="R99" s="560">
        <v>20</v>
      </c>
      <c r="S99" s="561">
        <v>20</v>
      </c>
      <c r="T99" s="562">
        <v>20</v>
      </c>
      <c r="U99" s="989"/>
      <c r="AA99" s="3"/>
    </row>
    <row r="100" spans="1:27" s="2" customFormat="1" ht="55.5" customHeight="1" x14ac:dyDescent="0.25">
      <c r="A100" s="582"/>
      <c r="B100" s="51"/>
      <c r="C100" s="703"/>
      <c r="D100" s="26" t="s">
        <v>99</v>
      </c>
      <c r="E100" s="641"/>
      <c r="F100" s="58"/>
      <c r="G100" s="685"/>
      <c r="H100" s="261"/>
      <c r="I100" s="261"/>
      <c r="J100" s="246"/>
      <c r="K100" s="52"/>
      <c r="L100" s="261"/>
      <c r="M100" s="328"/>
      <c r="N100" s="52"/>
      <c r="O100" s="261"/>
      <c r="P100" s="328"/>
      <c r="Q100" s="557" t="s">
        <v>232</v>
      </c>
      <c r="R100" s="93">
        <v>34</v>
      </c>
      <c r="S100" s="99">
        <v>34</v>
      </c>
      <c r="T100" s="94">
        <v>10</v>
      </c>
      <c r="U100" s="990"/>
      <c r="V100" s="3"/>
      <c r="W100" s="3"/>
    </row>
    <row r="101" spans="1:27" s="2" customFormat="1" ht="138" customHeight="1" x14ac:dyDescent="0.25">
      <c r="A101" s="582"/>
      <c r="B101" s="51"/>
      <c r="C101" s="703"/>
      <c r="D101" s="26" t="s">
        <v>100</v>
      </c>
      <c r="E101" s="702" t="s">
        <v>115</v>
      </c>
      <c r="F101" s="58"/>
      <c r="G101" s="685"/>
      <c r="H101" s="238"/>
      <c r="I101" s="238"/>
      <c r="J101" s="224"/>
      <c r="K101" s="27"/>
      <c r="L101" s="238"/>
      <c r="M101" s="362"/>
      <c r="N101" s="27"/>
      <c r="O101" s="238"/>
      <c r="P101" s="362"/>
      <c r="Q101" s="559" t="s">
        <v>213</v>
      </c>
      <c r="R101" s="634">
        <v>100</v>
      </c>
      <c r="S101" s="301">
        <v>100</v>
      </c>
      <c r="T101" s="701">
        <v>100</v>
      </c>
      <c r="U101" s="991"/>
      <c r="V101" s="3"/>
    </row>
    <row r="102" spans="1:27" s="2" customFormat="1" ht="80.25" customHeight="1" x14ac:dyDescent="0.25">
      <c r="A102" s="582"/>
      <c r="B102" s="51"/>
      <c r="C102" s="703"/>
      <c r="D102" s="54" t="s">
        <v>111</v>
      </c>
      <c r="E102" s="888" t="s">
        <v>114</v>
      </c>
      <c r="F102" s="58"/>
      <c r="G102" s="681"/>
      <c r="H102" s="261"/>
      <c r="I102" s="261"/>
      <c r="J102" s="246"/>
      <c r="K102" s="52"/>
      <c r="L102" s="261"/>
      <c r="M102" s="328"/>
      <c r="N102" s="52"/>
      <c r="O102" s="261"/>
      <c r="P102" s="328"/>
      <c r="Q102" s="898" t="s">
        <v>214</v>
      </c>
      <c r="R102" s="93">
        <v>150</v>
      </c>
      <c r="S102" s="99">
        <v>200</v>
      </c>
      <c r="T102" s="94">
        <v>200</v>
      </c>
      <c r="U102" s="992"/>
      <c r="V102" s="3"/>
    </row>
    <row r="103" spans="1:27" s="2" customFormat="1" ht="69" customHeight="1" x14ac:dyDescent="0.25">
      <c r="A103" s="639"/>
      <c r="B103" s="637"/>
      <c r="C103" s="654"/>
      <c r="D103" s="55" t="s">
        <v>110</v>
      </c>
      <c r="E103" s="899" t="s">
        <v>122</v>
      </c>
      <c r="F103" s="876"/>
      <c r="G103" s="681"/>
      <c r="H103" s="230"/>
      <c r="I103" s="230"/>
      <c r="J103" s="217"/>
      <c r="K103" s="14"/>
      <c r="L103" s="230"/>
      <c r="M103" s="535"/>
      <c r="N103" s="14"/>
      <c r="O103" s="230"/>
      <c r="P103" s="535"/>
      <c r="Q103" s="898" t="s">
        <v>215</v>
      </c>
      <c r="R103" s="522">
        <v>1</v>
      </c>
      <c r="S103" s="457">
        <v>1</v>
      </c>
      <c r="T103" s="458">
        <v>1</v>
      </c>
      <c r="U103" s="991"/>
    </row>
    <row r="104" spans="1:27" s="2" customFormat="1" ht="39" customHeight="1" x14ac:dyDescent="0.25">
      <c r="A104" s="639"/>
      <c r="B104" s="637"/>
      <c r="C104" s="654"/>
      <c r="D104" s="2413" t="s">
        <v>52</v>
      </c>
      <c r="E104" s="705" t="s">
        <v>116</v>
      </c>
      <c r="F104" s="876"/>
      <c r="G104" s="681"/>
      <c r="H104" s="234"/>
      <c r="I104" s="234"/>
      <c r="J104" s="221"/>
      <c r="K104" s="56"/>
      <c r="L104" s="234"/>
      <c r="M104" s="532"/>
      <c r="N104" s="56"/>
      <c r="O104" s="234"/>
      <c r="P104" s="532"/>
      <c r="Q104" s="2731" t="s">
        <v>216</v>
      </c>
      <c r="R104" s="523">
        <v>15</v>
      </c>
      <c r="S104" s="459">
        <v>20</v>
      </c>
      <c r="T104" s="460">
        <v>20</v>
      </c>
      <c r="U104" s="2684"/>
    </row>
    <row r="105" spans="1:27" s="2" customFormat="1" ht="16.5" customHeight="1" thickBot="1" x14ac:dyDescent="0.3">
      <c r="A105" s="642"/>
      <c r="B105" s="643"/>
      <c r="C105" s="655"/>
      <c r="D105" s="2414"/>
      <c r="E105" s="880"/>
      <c r="F105" s="879"/>
      <c r="G105" s="32" t="s">
        <v>26</v>
      </c>
      <c r="H105" s="237">
        <f>SUM(H96:H104)</f>
        <v>575.9</v>
      </c>
      <c r="I105" s="237">
        <f>SUM(I96:I104)</f>
        <v>560.9</v>
      </c>
      <c r="J105" s="237">
        <f>SUM(J96:J104)</f>
        <v>-15</v>
      </c>
      <c r="K105" s="30">
        <f t="shared" ref="K105" si="7">SUM(K96:K104)</f>
        <v>695.8</v>
      </c>
      <c r="L105" s="237">
        <f t="shared" ref="L105" si="8">SUM(L96:L104)</f>
        <v>695.8</v>
      </c>
      <c r="M105" s="347"/>
      <c r="N105" s="30">
        <f t="shared" ref="N105:O105" si="9">SUM(N96:N104)</f>
        <v>695.8</v>
      </c>
      <c r="O105" s="237">
        <f t="shared" si="9"/>
        <v>695.8</v>
      </c>
      <c r="P105" s="347"/>
      <c r="Q105" s="2732"/>
      <c r="R105" s="712"/>
      <c r="S105" s="177"/>
      <c r="T105" s="692"/>
      <c r="U105" s="2685"/>
    </row>
    <row r="106" spans="1:27" s="2" customFormat="1" ht="15.75" customHeight="1" x14ac:dyDescent="0.25">
      <c r="A106" s="581" t="s">
        <v>15</v>
      </c>
      <c r="B106" s="49" t="s">
        <v>35</v>
      </c>
      <c r="C106" s="171" t="s">
        <v>41</v>
      </c>
      <c r="D106" s="2416" t="s">
        <v>53</v>
      </c>
      <c r="E106" s="2418" t="s">
        <v>118</v>
      </c>
      <c r="F106" s="105" t="s">
        <v>19</v>
      </c>
      <c r="G106" s="687" t="s">
        <v>22</v>
      </c>
      <c r="H106" s="607">
        <v>201.2</v>
      </c>
      <c r="I106" s="607">
        <v>201.2</v>
      </c>
      <c r="J106" s="606"/>
      <c r="K106" s="605">
        <v>201.2</v>
      </c>
      <c r="L106" s="607">
        <v>201.2</v>
      </c>
      <c r="M106" s="606"/>
      <c r="N106" s="605">
        <v>201.2</v>
      </c>
      <c r="O106" s="607">
        <v>201.2</v>
      </c>
      <c r="P106" s="606"/>
      <c r="Q106" s="2541" t="s">
        <v>54</v>
      </c>
      <c r="R106" s="31">
        <v>46</v>
      </c>
      <c r="S106" s="689">
        <v>46</v>
      </c>
      <c r="T106" s="696">
        <v>46</v>
      </c>
      <c r="U106" s="772"/>
    </row>
    <row r="107" spans="1:27" s="2" customFormat="1" ht="15.75" customHeight="1" x14ac:dyDescent="0.25">
      <c r="A107" s="582"/>
      <c r="B107" s="51"/>
      <c r="C107" s="644"/>
      <c r="D107" s="2417"/>
      <c r="E107" s="2419"/>
      <c r="F107" s="58"/>
      <c r="G107" s="680" t="s">
        <v>37</v>
      </c>
      <c r="H107" s="620">
        <v>220.7</v>
      </c>
      <c r="I107" s="620">
        <v>220.7</v>
      </c>
      <c r="J107" s="621"/>
      <c r="K107" s="608">
        <v>221</v>
      </c>
      <c r="L107" s="620">
        <v>221</v>
      </c>
      <c r="M107" s="621"/>
      <c r="N107" s="608">
        <v>221</v>
      </c>
      <c r="O107" s="620">
        <v>221</v>
      </c>
      <c r="P107" s="840"/>
      <c r="Q107" s="2293"/>
      <c r="R107" s="711"/>
      <c r="S107" s="183"/>
      <c r="T107" s="691"/>
      <c r="U107" s="773"/>
    </row>
    <row r="108" spans="1:27" s="2" customFormat="1" ht="30" customHeight="1" x14ac:dyDescent="0.25">
      <c r="A108" s="582"/>
      <c r="B108" s="51"/>
      <c r="C108" s="644"/>
      <c r="D108" s="57" t="s">
        <v>55</v>
      </c>
      <c r="E108" s="2419"/>
      <c r="F108" s="58"/>
      <c r="G108" s="681"/>
      <c r="H108" s="229"/>
      <c r="I108" s="229"/>
      <c r="J108" s="216"/>
      <c r="K108" s="11"/>
      <c r="L108" s="229"/>
      <c r="M108" s="13"/>
      <c r="N108" s="11"/>
      <c r="O108" s="229"/>
      <c r="P108" s="13"/>
      <c r="Q108" s="2293"/>
      <c r="R108" s="711"/>
      <c r="S108" s="101"/>
      <c r="T108" s="691"/>
      <c r="U108" s="768"/>
      <c r="X108" s="3"/>
    </row>
    <row r="109" spans="1:27" s="2" customFormat="1" ht="15.75" customHeight="1" x14ac:dyDescent="0.25">
      <c r="A109" s="2406"/>
      <c r="B109" s="2407"/>
      <c r="C109" s="654"/>
      <c r="D109" s="2291" t="s">
        <v>56</v>
      </c>
      <c r="E109" s="2419"/>
      <c r="F109" s="663"/>
      <c r="G109" s="681"/>
      <c r="H109" s="259"/>
      <c r="I109" s="259"/>
      <c r="J109" s="244"/>
      <c r="K109" s="59"/>
      <c r="L109" s="259"/>
      <c r="M109" s="244"/>
      <c r="N109" s="59"/>
      <c r="O109" s="259"/>
      <c r="P109" s="327"/>
      <c r="Q109" s="2702"/>
      <c r="R109" s="21"/>
      <c r="S109" s="415"/>
      <c r="T109" s="23"/>
      <c r="U109" s="765"/>
    </row>
    <row r="110" spans="1:27" s="2" customFormat="1" ht="15.75" customHeight="1" x14ac:dyDescent="0.25">
      <c r="A110" s="2406"/>
      <c r="B110" s="2407"/>
      <c r="C110" s="654"/>
      <c r="D110" s="2293"/>
      <c r="E110" s="155"/>
      <c r="F110" s="663"/>
      <c r="G110" s="10"/>
      <c r="H110" s="259"/>
      <c r="I110" s="259"/>
      <c r="J110" s="244"/>
      <c r="K110" s="59"/>
      <c r="L110" s="259"/>
      <c r="M110" s="327"/>
      <c r="N110" s="59"/>
      <c r="O110" s="259"/>
      <c r="P110" s="327"/>
      <c r="Q110" s="2702"/>
      <c r="R110" s="21"/>
      <c r="S110" s="415"/>
      <c r="T110" s="23"/>
      <c r="U110" s="765"/>
    </row>
    <row r="111" spans="1:27" s="2" customFormat="1" ht="11.25" customHeight="1" x14ac:dyDescent="0.25">
      <c r="A111" s="2406"/>
      <c r="B111" s="2407"/>
      <c r="C111" s="654" t="s">
        <v>131</v>
      </c>
      <c r="D111" s="2292"/>
      <c r="E111" s="300"/>
      <c r="F111" s="663"/>
      <c r="G111" s="10"/>
      <c r="H111" s="259"/>
      <c r="I111" s="259"/>
      <c r="J111" s="244"/>
      <c r="K111" s="59"/>
      <c r="L111" s="259"/>
      <c r="M111" s="327"/>
      <c r="N111" s="59"/>
      <c r="O111" s="259"/>
      <c r="P111" s="327"/>
      <c r="Q111" s="2702"/>
      <c r="R111" s="21"/>
      <c r="S111" s="415"/>
      <c r="T111" s="23"/>
      <c r="U111" s="765"/>
    </row>
    <row r="112" spans="1:27" s="2" customFormat="1" ht="105.6" customHeight="1" x14ac:dyDescent="0.25">
      <c r="A112" s="582"/>
      <c r="B112" s="51"/>
      <c r="C112" s="644"/>
      <c r="D112" s="2724" t="s">
        <v>127</v>
      </c>
      <c r="E112" s="2419" t="s">
        <v>117</v>
      </c>
      <c r="F112" s="58"/>
      <c r="G112" s="10"/>
      <c r="H112" s="229"/>
      <c r="I112" s="229"/>
      <c r="J112" s="216"/>
      <c r="K112" s="11"/>
      <c r="L112" s="229"/>
      <c r="M112" s="13"/>
      <c r="N112" s="11"/>
      <c r="O112" s="229"/>
      <c r="P112" s="13"/>
      <c r="Q112" s="195"/>
      <c r="R112" s="21"/>
      <c r="S112" s="415"/>
      <c r="T112" s="23"/>
      <c r="U112" s="765"/>
      <c r="X112" s="3"/>
    </row>
    <row r="113" spans="1:21" s="2" customFormat="1" ht="16.5" customHeight="1" thickBot="1" x14ac:dyDescent="0.3">
      <c r="A113" s="642"/>
      <c r="B113" s="643"/>
      <c r="C113" s="655"/>
      <c r="D113" s="2725"/>
      <c r="E113" s="2726"/>
      <c r="F113" s="674"/>
      <c r="G113" s="46" t="s">
        <v>26</v>
      </c>
      <c r="H113" s="265">
        <f>SUM(H106:H112)</f>
        <v>421.9</v>
      </c>
      <c r="I113" s="265">
        <f>SUM(I106:I112)</f>
        <v>421.9</v>
      </c>
      <c r="J113" s="249"/>
      <c r="K113" s="47">
        <f t="shared" ref="K113" si="10">SUM(K106:K112)</f>
        <v>422.2</v>
      </c>
      <c r="L113" s="265">
        <f t="shared" ref="L113" si="11">SUM(L106:L112)</f>
        <v>422.2</v>
      </c>
      <c r="M113" s="820"/>
      <c r="N113" s="47">
        <f t="shared" ref="N113:O113" si="12">SUM(N106:N112)</f>
        <v>422.2</v>
      </c>
      <c r="O113" s="265">
        <f t="shared" si="12"/>
        <v>422.2</v>
      </c>
      <c r="P113" s="820"/>
      <c r="Q113" s="511"/>
      <c r="R113" s="60"/>
      <c r="S113" s="375"/>
      <c r="T113" s="61"/>
      <c r="U113" s="774"/>
    </row>
    <row r="114" spans="1:21" s="2" customFormat="1" ht="27" customHeight="1" x14ac:dyDescent="0.25">
      <c r="A114" s="2449" t="s">
        <v>15</v>
      </c>
      <c r="B114" s="2451" t="s">
        <v>35</v>
      </c>
      <c r="C114" s="653" t="s">
        <v>42</v>
      </c>
      <c r="D114" s="2432" t="s">
        <v>57</v>
      </c>
      <c r="E114" s="38"/>
      <c r="F114" s="173" t="s">
        <v>58</v>
      </c>
      <c r="G114" s="687" t="s">
        <v>22</v>
      </c>
      <c r="H114" s="239">
        <v>90</v>
      </c>
      <c r="I114" s="239">
        <v>90</v>
      </c>
      <c r="J114" s="225"/>
      <c r="K114" s="133">
        <v>90</v>
      </c>
      <c r="L114" s="239">
        <v>90</v>
      </c>
      <c r="M114" s="449"/>
      <c r="N114" s="225">
        <v>90</v>
      </c>
      <c r="O114" s="239">
        <f>+I114</f>
        <v>90</v>
      </c>
      <c r="P114" s="251"/>
      <c r="Q114" s="1027" t="s">
        <v>59</v>
      </c>
      <c r="R114" s="1028">
        <v>27</v>
      </c>
      <c r="S114" s="1029">
        <v>27</v>
      </c>
      <c r="T114" s="1030">
        <v>27</v>
      </c>
      <c r="U114" s="2669" t="s">
        <v>268</v>
      </c>
    </row>
    <row r="115" spans="1:21" s="2" customFormat="1" ht="27" customHeight="1" x14ac:dyDescent="0.25">
      <c r="A115" s="2406"/>
      <c r="B115" s="2407"/>
      <c r="C115" s="932"/>
      <c r="D115" s="2288"/>
      <c r="E115" s="37"/>
      <c r="F115" s="931"/>
      <c r="G115" s="935" t="s">
        <v>20</v>
      </c>
      <c r="H115" s="922"/>
      <c r="I115" s="922">
        <v>30.9</v>
      </c>
      <c r="J115" s="923">
        <f>+I115-H115</f>
        <v>30.9</v>
      </c>
      <c r="K115" s="933"/>
      <c r="L115" s="922"/>
      <c r="M115" s="924"/>
      <c r="N115" s="923"/>
      <c r="O115" s="922"/>
      <c r="P115" s="923"/>
      <c r="Q115" s="934" t="s">
        <v>258</v>
      </c>
      <c r="R115" s="936">
        <v>10</v>
      </c>
      <c r="S115" s="977"/>
      <c r="T115" s="978"/>
      <c r="U115" s="2670"/>
    </row>
    <row r="116" spans="1:21" s="2" customFormat="1" ht="43.15" customHeight="1" x14ac:dyDescent="0.25">
      <c r="A116" s="2406"/>
      <c r="B116" s="2407"/>
      <c r="C116" s="654"/>
      <c r="D116" s="2288"/>
      <c r="E116" s="37"/>
      <c r="F116" s="647"/>
      <c r="G116" s="190" t="s">
        <v>37</v>
      </c>
      <c r="H116" s="319">
        <v>110</v>
      </c>
      <c r="I116" s="319">
        <v>110</v>
      </c>
      <c r="J116" s="442"/>
      <c r="K116" s="318">
        <v>110</v>
      </c>
      <c r="L116" s="319">
        <v>110</v>
      </c>
      <c r="M116" s="450"/>
      <c r="N116" s="442">
        <v>110</v>
      </c>
      <c r="O116" s="319">
        <v>110</v>
      </c>
      <c r="P116" s="450"/>
      <c r="Q116" s="67" t="s">
        <v>107</v>
      </c>
      <c r="R116" s="106">
        <v>10</v>
      </c>
      <c r="S116" s="979">
        <v>10</v>
      </c>
      <c r="T116" s="979">
        <v>10</v>
      </c>
      <c r="U116" s="2671"/>
    </row>
    <row r="117" spans="1:21" s="2" customFormat="1" ht="29.25" customHeight="1" thickBot="1" x14ac:dyDescent="0.3">
      <c r="A117" s="639"/>
      <c r="B117" s="637"/>
      <c r="C117" s="654"/>
      <c r="D117" s="2433"/>
      <c r="E117" s="37"/>
      <c r="F117" s="647"/>
      <c r="G117" s="39" t="s">
        <v>26</v>
      </c>
      <c r="H117" s="237">
        <f>SUM(H114:H116)</f>
        <v>200</v>
      </c>
      <c r="I117" s="237">
        <f>SUM(I114:I116)</f>
        <v>230.9</v>
      </c>
      <c r="J117" s="237">
        <f>SUM(J114:J116)</f>
        <v>30.9</v>
      </c>
      <c r="K117" s="30">
        <f>SUM(K114:K116)</f>
        <v>200</v>
      </c>
      <c r="L117" s="237">
        <f>SUM(L114:L116)</f>
        <v>200</v>
      </c>
      <c r="M117" s="347"/>
      <c r="N117" s="30">
        <f>SUM(N114:N116)</f>
        <v>200</v>
      </c>
      <c r="O117" s="237">
        <f>SUM(O114:O116)</f>
        <v>200</v>
      </c>
      <c r="P117" s="347"/>
      <c r="Q117" s="512" t="s">
        <v>147</v>
      </c>
      <c r="R117" s="937">
        <v>30</v>
      </c>
      <c r="S117" s="938">
        <v>30</v>
      </c>
      <c r="T117" s="938">
        <v>30</v>
      </c>
      <c r="U117" s="939"/>
    </row>
    <row r="118" spans="1:21" s="2" customFormat="1" ht="24.75" customHeight="1" x14ac:dyDescent="0.25">
      <c r="A118" s="651" t="s">
        <v>15</v>
      </c>
      <c r="B118" s="652" t="s">
        <v>35</v>
      </c>
      <c r="C118" s="653" t="s">
        <v>60</v>
      </c>
      <c r="D118" s="2397" t="s">
        <v>112</v>
      </c>
      <c r="E118" s="38"/>
      <c r="F118" s="2399">
        <v>3</v>
      </c>
      <c r="G118" s="687" t="s">
        <v>22</v>
      </c>
      <c r="H118" s="267">
        <v>4.5</v>
      </c>
      <c r="I118" s="267">
        <v>4.5</v>
      </c>
      <c r="J118" s="252"/>
      <c r="K118" s="62">
        <v>4.5</v>
      </c>
      <c r="L118" s="267">
        <v>4.5</v>
      </c>
      <c r="M118" s="821"/>
      <c r="N118" s="62">
        <v>4.5</v>
      </c>
      <c r="O118" s="267">
        <v>4.5</v>
      </c>
      <c r="P118" s="821"/>
      <c r="Q118" s="461" t="s">
        <v>113</v>
      </c>
      <c r="R118" s="524">
        <v>2</v>
      </c>
      <c r="S118" s="38">
        <v>2</v>
      </c>
      <c r="T118" s="462">
        <v>2</v>
      </c>
      <c r="U118" s="775"/>
    </row>
    <row r="119" spans="1:21" s="2" customFormat="1" ht="16.5" customHeight="1" thickBot="1" x14ac:dyDescent="0.3">
      <c r="A119" s="639"/>
      <c r="B119" s="637"/>
      <c r="C119" s="655"/>
      <c r="D119" s="2398"/>
      <c r="E119" s="156"/>
      <c r="F119" s="2400"/>
      <c r="G119" s="46" t="s">
        <v>26</v>
      </c>
      <c r="H119" s="237">
        <f>H118</f>
        <v>4.5</v>
      </c>
      <c r="I119" s="237">
        <f>I118</f>
        <v>4.5</v>
      </c>
      <c r="J119" s="223"/>
      <c r="K119" s="30">
        <f>K118</f>
        <v>4.5</v>
      </c>
      <c r="L119" s="237">
        <f>L118</f>
        <v>4.5</v>
      </c>
      <c r="M119" s="347"/>
      <c r="N119" s="30">
        <f>N118</f>
        <v>4.5</v>
      </c>
      <c r="O119" s="237">
        <f>O118</f>
        <v>4.5</v>
      </c>
      <c r="P119" s="347"/>
      <c r="Q119" s="636"/>
      <c r="R119" s="633"/>
      <c r="S119" s="37"/>
      <c r="T119" s="700"/>
      <c r="U119" s="776"/>
    </row>
    <row r="120" spans="1:21" s="2" customFormat="1" ht="16.5" customHeight="1" x14ac:dyDescent="0.25">
      <c r="A120" s="2377" t="s">
        <v>15</v>
      </c>
      <c r="B120" s="2379" t="s">
        <v>35</v>
      </c>
      <c r="C120" s="2381" t="s">
        <v>61</v>
      </c>
      <c r="D120" s="2383" t="s">
        <v>130</v>
      </c>
      <c r="E120" s="2385"/>
      <c r="F120" s="2387">
        <v>3</v>
      </c>
      <c r="G120" s="565" t="s">
        <v>20</v>
      </c>
      <c r="H120" s="900">
        <v>94.4</v>
      </c>
      <c r="I120" s="900">
        <v>94.4</v>
      </c>
      <c r="J120" s="723"/>
      <c r="K120" s="50">
        <v>111.2</v>
      </c>
      <c r="L120" s="278">
        <v>111.2</v>
      </c>
      <c r="M120" s="338"/>
      <c r="N120" s="50">
        <v>49.5</v>
      </c>
      <c r="O120" s="278">
        <v>49.5</v>
      </c>
      <c r="P120" s="338"/>
      <c r="Q120" s="464" t="s">
        <v>129</v>
      </c>
      <c r="R120" s="82"/>
      <c r="S120" s="465"/>
      <c r="T120" s="83"/>
      <c r="U120" s="2658"/>
    </row>
    <row r="121" spans="1:21" s="2" customFormat="1" ht="16.5" customHeight="1" x14ac:dyDescent="0.25">
      <c r="A121" s="2378"/>
      <c r="B121" s="2380"/>
      <c r="C121" s="2382"/>
      <c r="D121" s="2384"/>
      <c r="E121" s="2386"/>
      <c r="F121" s="2388"/>
      <c r="G121" s="292" t="s">
        <v>168</v>
      </c>
      <c r="H121" s="445">
        <v>212</v>
      </c>
      <c r="I121" s="445">
        <v>212</v>
      </c>
      <c r="J121" s="718"/>
      <c r="K121" s="139">
        <v>249.9</v>
      </c>
      <c r="L121" s="445">
        <v>249.9</v>
      </c>
      <c r="M121" s="718"/>
      <c r="N121" s="139">
        <v>111.4</v>
      </c>
      <c r="O121" s="445">
        <v>111.4</v>
      </c>
      <c r="P121" s="718"/>
      <c r="Q121" s="288" t="s">
        <v>128</v>
      </c>
      <c r="R121" s="355">
        <v>350</v>
      </c>
      <c r="S121" s="130">
        <v>350</v>
      </c>
      <c r="T121" s="365">
        <v>350</v>
      </c>
      <c r="U121" s="2659"/>
    </row>
    <row r="122" spans="1:21" s="2" customFormat="1" ht="16.5" customHeight="1" x14ac:dyDescent="0.25">
      <c r="A122" s="2378"/>
      <c r="B122" s="2380"/>
      <c r="C122" s="2382"/>
      <c r="D122" s="2384"/>
      <c r="E122" s="2386"/>
      <c r="F122" s="2388"/>
      <c r="G122" s="292" t="s">
        <v>180</v>
      </c>
      <c r="H122" s="445">
        <v>3.7</v>
      </c>
      <c r="I122" s="445">
        <v>3.7</v>
      </c>
      <c r="J122" s="724"/>
      <c r="K122" s="138"/>
      <c r="L122" s="274"/>
      <c r="M122" s="354"/>
      <c r="N122" s="320"/>
      <c r="O122" s="274"/>
      <c r="P122" s="354"/>
      <c r="Q122" s="717"/>
      <c r="R122" s="711"/>
      <c r="S122" s="101"/>
      <c r="T122" s="691"/>
      <c r="U122" s="2659"/>
    </row>
    <row r="123" spans="1:21" s="2" customFormat="1" ht="15" customHeight="1" thickBot="1" x14ac:dyDescent="0.3">
      <c r="A123" s="2391"/>
      <c r="B123" s="2392"/>
      <c r="C123" s="2393"/>
      <c r="D123" s="2394"/>
      <c r="E123" s="2395"/>
      <c r="F123" s="2396"/>
      <c r="G123" s="367" t="s">
        <v>26</v>
      </c>
      <c r="H123" s="33">
        <f>SUM(H120:H122)</f>
        <v>310.09999999999997</v>
      </c>
      <c r="I123" s="237">
        <f>SUM(I120:I122)</f>
        <v>310.09999999999997</v>
      </c>
      <c r="J123" s="381">
        <f>SUM(J120:J122)</f>
        <v>0</v>
      </c>
      <c r="K123" s="30">
        <f>SUM(K120:K121)</f>
        <v>361.1</v>
      </c>
      <c r="L123" s="237">
        <f>SUM(L120:L121)</f>
        <v>361.1</v>
      </c>
      <c r="M123" s="347"/>
      <c r="N123" s="346">
        <f>SUM(N120:N121)</f>
        <v>160.9</v>
      </c>
      <c r="O123" s="237">
        <f>SUM(O120:O121)</f>
        <v>160.9</v>
      </c>
      <c r="P123" s="347"/>
      <c r="Q123" s="97"/>
      <c r="R123" s="567"/>
      <c r="S123" s="568"/>
      <c r="T123" s="569"/>
      <c r="U123" s="778"/>
    </row>
    <row r="124" spans="1:21" s="2" customFormat="1" ht="18.75" customHeight="1" x14ac:dyDescent="0.25">
      <c r="A124" s="2377" t="s">
        <v>15</v>
      </c>
      <c r="B124" s="2379" t="s">
        <v>35</v>
      </c>
      <c r="C124" s="2381" t="s">
        <v>95</v>
      </c>
      <c r="D124" s="2389" t="s">
        <v>172</v>
      </c>
      <c r="E124" s="2385"/>
      <c r="F124" s="2387">
        <v>3</v>
      </c>
      <c r="G124" s="463" t="s">
        <v>22</v>
      </c>
      <c r="H124" s="451">
        <v>26.7</v>
      </c>
      <c r="I124" s="962">
        <v>5</v>
      </c>
      <c r="J124" s="963">
        <f>+I124-H124</f>
        <v>-21.7</v>
      </c>
      <c r="K124" s="28">
        <v>18</v>
      </c>
      <c r="L124" s="264">
        <v>18</v>
      </c>
      <c r="M124" s="329"/>
      <c r="N124" s="129">
        <v>7.1</v>
      </c>
      <c r="O124" s="268">
        <v>7.1</v>
      </c>
      <c r="P124" s="360"/>
      <c r="Q124" s="2432" t="s">
        <v>221</v>
      </c>
      <c r="R124" s="2652">
        <v>1</v>
      </c>
      <c r="S124" s="2654"/>
      <c r="T124" s="2656"/>
      <c r="U124" s="2658" t="s">
        <v>275</v>
      </c>
    </row>
    <row r="125" spans="1:21" s="2" customFormat="1" ht="41.25" customHeight="1" x14ac:dyDescent="0.25">
      <c r="A125" s="2378"/>
      <c r="B125" s="2380"/>
      <c r="C125" s="2382"/>
      <c r="D125" s="2390"/>
      <c r="E125" s="2386"/>
      <c r="F125" s="2388"/>
      <c r="G125" s="12" t="s">
        <v>168</v>
      </c>
      <c r="H125" s="719">
        <v>122.6</v>
      </c>
      <c r="I125" s="274">
        <v>122.6</v>
      </c>
      <c r="J125" s="354"/>
      <c r="K125" s="138">
        <v>102</v>
      </c>
      <c r="L125" s="274">
        <v>102</v>
      </c>
      <c r="M125" s="354"/>
      <c r="N125" s="138">
        <v>40.5</v>
      </c>
      <c r="O125" s="274">
        <v>40.5</v>
      </c>
      <c r="P125" s="354"/>
      <c r="Q125" s="2374"/>
      <c r="R125" s="2653"/>
      <c r="S125" s="2655"/>
      <c r="T125" s="2657"/>
      <c r="U125" s="2659"/>
    </row>
    <row r="126" spans="1:21" s="2" customFormat="1" ht="46.5" customHeight="1" x14ac:dyDescent="0.25">
      <c r="A126" s="2378"/>
      <c r="B126" s="2380"/>
      <c r="C126" s="2382"/>
      <c r="D126" s="2390"/>
      <c r="E126" s="2386"/>
      <c r="F126" s="2388"/>
      <c r="G126" s="709"/>
      <c r="H126" s="720"/>
      <c r="I126" s="273"/>
      <c r="J126" s="575"/>
      <c r="K126" s="122"/>
      <c r="L126" s="273"/>
      <c r="M126" s="575"/>
      <c r="N126" s="122"/>
      <c r="O126" s="273"/>
      <c r="P126" s="575"/>
      <c r="Q126" s="302" t="s">
        <v>241</v>
      </c>
      <c r="R126" s="525"/>
      <c r="S126" s="293">
        <v>340</v>
      </c>
      <c r="T126" s="294"/>
      <c r="U126" s="2660"/>
    </row>
    <row r="127" spans="1:21" s="2" customFormat="1" ht="15.75" customHeight="1" thickBot="1" x14ac:dyDescent="0.3">
      <c r="A127" s="2378"/>
      <c r="B127" s="2380"/>
      <c r="C127" s="2382"/>
      <c r="D127" s="2384"/>
      <c r="E127" s="2386"/>
      <c r="F127" s="2388"/>
      <c r="G127" s="367" t="s">
        <v>26</v>
      </c>
      <c r="H127" s="721">
        <f>SUM(H124:H126)</f>
        <v>149.29999999999998</v>
      </c>
      <c r="I127" s="722">
        <f>SUM(I124:I126)</f>
        <v>127.6</v>
      </c>
      <c r="J127" s="722">
        <f>SUM(J124:J126)</f>
        <v>-21.7</v>
      </c>
      <c r="K127" s="397">
        <f t="shared" ref="K127" si="13">SUM(K124:K126)</f>
        <v>120</v>
      </c>
      <c r="L127" s="826">
        <f t="shared" ref="L127" si="14">SUM(L124:L126)</f>
        <v>120</v>
      </c>
      <c r="M127" s="822"/>
      <c r="N127" s="397">
        <f t="shared" ref="N127:O127" si="15">SUM(N124:N126)</f>
        <v>47.6</v>
      </c>
      <c r="O127" s="826">
        <f t="shared" si="15"/>
        <v>47.6</v>
      </c>
      <c r="P127" s="406"/>
      <c r="Q127" s="288" t="s">
        <v>220</v>
      </c>
      <c r="R127" s="712"/>
      <c r="S127" s="373"/>
      <c r="T127" s="692">
        <v>1</v>
      </c>
      <c r="U127" s="752"/>
    </row>
    <row r="128" spans="1:21" s="2" customFormat="1" ht="42" customHeight="1" x14ac:dyDescent="0.25">
      <c r="A128" s="2377" t="s">
        <v>15</v>
      </c>
      <c r="B128" s="2379" t="s">
        <v>35</v>
      </c>
      <c r="C128" s="2381" t="s">
        <v>96</v>
      </c>
      <c r="D128" s="2383" t="s">
        <v>157</v>
      </c>
      <c r="E128" s="2385"/>
      <c r="F128" s="2387">
        <v>5</v>
      </c>
      <c r="G128" s="200" t="s">
        <v>22</v>
      </c>
      <c r="H128" s="269">
        <f>132.3-100</f>
        <v>32.300000000000011</v>
      </c>
      <c r="I128" s="269">
        <f>132.3-100</f>
        <v>32.300000000000011</v>
      </c>
      <c r="J128" s="254"/>
      <c r="K128" s="163">
        <v>137.30000000000001</v>
      </c>
      <c r="L128" s="269">
        <v>137.30000000000001</v>
      </c>
      <c r="M128" s="164"/>
      <c r="N128" s="254">
        <v>97</v>
      </c>
      <c r="O128" s="269">
        <v>97</v>
      </c>
      <c r="P128" s="164"/>
      <c r="Q128" s="513" t="s">
        <v>143</v>
      </c>
      <c r="R128" s="526">
        <v>5</v>
      </c>
      <c r="S128" s="494">
        <v>4</v>
      </c>
      <c r="T128" s="495">
        <v>2</v>
      </c>
      <c r="U128" s="2697" t="s">
        <v>276</v>
      </c>
    </row>
    <row r="129" spans="1:24" s="2" customFormat="1" ht="42" customHeight="1" x14ac:dyDescent="0.25">
      <c r="A129" s="2378"/>
      <c r="B129" s="2380"/>
      <c r="C129" s="2382"/>
      <c r="D129" s="2384"/>
      <c r="E129" s="2386"/>
      <c r="F129" s="2388"/>
      <c r="G129" s="491" t="s">
        <v>164</v>
      </c>
      <c r="H129" s="228">
        <v>100</v>
      </c>
      <c r="I129" s="980">
        <v>50</v>
      </c>
      <c r="J129" s="981">
        <f>+I129-H129</f>
        <v>-50</v>
      </c>
      <c r="K129" s="174"/>
      <c r="L129" s="228"/>
      <c r="M129" s="353"/>
      <c r="N129" s="324"/>
      <c r="O129" s="228"/>
      <c r="P129" s="353"/>
      <c r="Q129" s="650" t="s">
        <v>144</v>
      </c>
      <c r="R129" s="344"/>
      <c r="S129" s="295"/>
      <c r="T129" s="167"/>
      <c r="U129" s="2722"/>
      <c r="W129" s="3"/>
    </row>
    <row r="130" spans="1:24" s="2" customFormat="1" ht="15" customHeight="1" thickBot="1" x14ac:dyDescent="0.3">
      <c r="A130" s="2378"/>
      <c r="B130" s="2380"/>
      <c r="C130" s="2382"/>
      <c r="D130" s="2384"/>
      <c r="E130" s="2386"/>
      <c r="F130" s="2388"/>
      <c r="G130" s="165" t="s">
        <v>26</v>
      </c>
      <c r="H130" s="265">
        <f>SUM(H128:H129)</f>
        <v>132.30000000000001</v>
      </c>
      <c r="I130" s="265">
        <f>SUM(I128:I129)</f>
        <v>82.300000000000011</v>
      </c>
      <c r="J130" s="265">
        <f>SUM(J128:J129)</f>
        <v>-50</v>
      </c>
      <c r="K130" s="47">
        <f>SUM(K128:K129)</f>
        <v>137.30000000000001</v>
      </c>
      <c r="L130" s="265">
        <f>SUM(L128:L129)</f>
        <v>137.30000000000001</v>
      </c>
      <c r="M130" s="820"/>
      <c r="N130" s="47">
        <f>SUM(N128:N129)</f>
        <v>97</v>
      </c>
      <c r="O130" s="265">
        <f>SUM(O128:O129)</f>
        <v>97</v>
      </c>
      <c r="P130" s="249"/>
      <c r="Q130" s="189"/>
      <c r="R130" s="712"/>
      <c r="S130" s="373"/>
      <c r="T130" s="692"/>
      <c r="U130" s="2723"/>
    </row>
    <row r="131" spans="1:24" s="2" customFormat="1" ht="16.5" customHeight="1" thickBot="1" x14ac:dyDescent="0.3">
      <c r="A131" s="577" t="s">
        <v>15</v>
      </c>
      <c r="B131" s="5" t="s">
        <v>35</v>
      </c>
      <c r="C131" s="2332" t="s">
        <v>43</v>
      </c>
      <c r="D131" s="2332"/>
      <c r="E131" s="2332"/>
      <c r="F131" s="2332"/>
      <c r="G131" s="2332"/>
      <c r="H131" s="1000">
        <f>H119+H117+H113+H105+H95+H93+H123+H127+H130</f>
        <v>7715.9000000000005</v>
      </c>
      <c r="I131" s="241">
        <f>I119+I117+I113+I105+I95+I93+I123+I127+I130</f>
        <v>7844.0000000000009</v>
      </c>
      <c r="J131" s="382">
        <f>J119+J117+J113+J105+J95+J93+J123+J127+J130</f>
        <v>128.1</v>
      </c>
      <c r="K131" s="63">
        <f>K119+K117+K113+K105+K95+K93+K123+K127+K130</f>
        <v>7284.3000000000011</v>
      </c>
      <c r="L131" s="241">
        <f>L119+L117+L113+L105+L95+L93+L123+L127+L130</f>
        <v>7284.3000000000011</v>
      </c>
      <c r="M131" s="823"/>
      <c r="N131" s="63">
        <f>N119+N117+N113+N105+N95+N93+N123+N127+N130</f>
        <v>6949.5000000000009</v>
      </c>
      <c r="O131" s="241">
        <f>O119+O117+O113+O105+O95+O93+O123+O127+O130</f>
        <v>6949.5000000000009</v>
      </c>
      <c r="P131" s="241"/>
      <c r="Q131" s="2333"/>
      <c r="R131" s="2334"/>
      <c r="S131" s="2334"/>
      <c r="T131" s="2334"/>
      <c r="U131" s="2335"/>
      <c r="X131" s="3"/>
    </row>
    <row r="132" spans="1:24" s="2" customFormat="1" ht="14.25" customHeight="1" thickBot="1" x14ac:dyDescent="0.3">
      <c r="A132" s="578" t="s">
        <v>15</v>
      </c>
      <c r="B132" s="5" t="s">
        <v>39</v>
      </c>
      <c r="C132" s="2372" t="s">
        <v>64</v>
      </c>
      <c r="D132" s="2372"/>
      <c r="E132" s="2372"/>
      <c r="F132" s="2372"/>
      <c r="G132" s="2372"/>
      <c r="H132" s="2372"/>
      <c r="I132" s="2372"/>
      <c r="J132" s="2372"/>
      <c r="K132" s="2372"/>
      <c r="L132" s="2372"/>
      <c r="M132" s="2372"/>
      <c r="N132" s="2372"/>
      <c r="O132" s="2372"/>
      <c r="P132" s="2372"/>
      <c r="Q132" s="2372"/>
      <c r="R132" s="2372"/>
      <c r="S132" s="2372"/>
      <c r="T132" s="2372"/>
      <c r="U132" s="2373"/>
    </row>
    <row r="133" spans="1:24" s="3" customFormat="1" ht="54.75" customHeight="1" x14ac:dyDescent="0.25">
      <c r="A133" s="651" t="s">
        <v>15</v>
      </c>
      <c r="B133" s="652" t="s">
        <v>39</v>
      </c>
      <c r="C133" s="558" t="s">
        <v>15</v>
      </c>
      <c r="D133" s="855" t="s">
        <v>65</v>
      </c>
      <c r="E133" s="628"/>
      <c r="F133" s="150"/>
      <c r="G133" s="1001"/>
      <c r="H133" s="162"/>
      <c r="I133" s="272"/>
      <c r="J133" s="843"/>
      <c r="K133" s="162"/>
      <c r="L133" s="272"/>
      <c r="M133" s="843"/>
      <c r="N133" s="271"/>
      <c r="O133" s="272"/>
      <c r="P133" s="271"/>
      <c r="Q133" s="192"/>
      <c r="R133" s="528"/>
      <c r="S133" s="376"/>
      <c r="T133" s="388"/>
      <c r="U133" s="856"/>
    </row>
    <row r="134" spans="1:24" s="3" customFormat="1" ht="16.5" customHeight="1" x14ac:dyDescent="0.25">
      <c r="A134" s="802"/>
      <c r="B134" s="803"/>
      <c r="C134" s="844"/>
      <c r="D134" s="852"/>
      <c r="E134" s="800" t="s">
        <v>66</v>
      </c>
      <c r="F134" s="801">
        <v>5</v>
      </c>
      <c r="G134" s="1002" t="s">
        <v>22</v>
      </c>
      <c r="H134" s="1010">
        <v>336</v>
      </c>
      <c r="I134" s="986">
        <f>336-52.8</f>
        <v>283.2</v>
      </c>
      <c r="J134" s="724">
        <f>+I134-H134</f>
        <v>-52.800000000000011</v>
      </c>
      <c r="K134" s="139">
        <v>946.1</v>
      </c>
      <c r="L134" s="445">
        <f>946.1</f>
        <v>946.1</v>
      </c>
      <c r="M134" s="718"/>
      <c r="N134" s="446">
        <v>2721.6</v>
      </c>
      <c r="O134" s="445">
        <f>2721.6</f>
        <v>2721.6</v>
      </c>
      <c r="P134" s="718"/>
      <c r="Q134" s="408"/>
      <c r="R134" s="847"/>
      <c r="S134" s="848"/>
      <c r="T134" s="849"/>
      <c r="U134" s="850"/>
    </row>
    <row r="135" spans="1:24" s="3" customFormat="1" ht="16.5" customHeight="1" x14ac:dyDescent="0.25">
      <c r="A135" s="802"/>
      <c r="B135" s="803"/>
      <c r="C135" s="844"/>
      <c r="D135" s="845"/>
      <c r="E135" s="846"/>
      <c r="F135" s="69"/>
      <c r="G135" s="1003" t="s">
        <v>168</v>
      </c>
      <c r="H135" s="1011">
        <v>435.7</v>
      </c>
      <c r="I135" s="952">
        <f>435.7-90</f>
        <v>345.7</v>
      </c>
      <c r="J135" s="1021">
        <f>+I135-H135</f>
        <v>-90</v>
      </c>
      <c r="K135" s="29">
        <v>303.10000000000002</v>
      </c>
      <c r="L135" s="952">
        <f>303.1+90</f>
        <v>393.1</v>
      </c>
      <c r="M135" s="1021">
        <f>+L135-K135</f>
        <v>90</v>
      </c>
      <c r="N135" s="417"/>
      <c r="O135" s="321"/>
      <c r="P135" s="533"/>
      <c r="Q135" s="408"/>
      <c r="R135" s="847"/>
      <c r="S135" s="848"/>
      <c r="T135" s="849"/>
      <c r="U135" s="850"/>
    </row>
    <row r="136" spans="1:24" s="3" customFormat="1" ht="16.5" customHeight="1" x14ac:dyDescent="0.25">
      <c r="A136" s="802"/>
      <c r="B136" s="803"/>
      <c r="C136" s="844"/>
      <c r="D136" s="845"/>
      <c r="E136" s="846"/>
      <c r="F136" s="69"/>
      <c r="G136" s="17" t="s">
        <v>164</v>
      </c>
      <c r="H136" s="1011">
        <v>178.6</v>
      </c>
      <c r="I136" s="321">
        <v>178.6</v>
      </c>
      <c r="J136" s="533"/>
      <c r="K136" s="29"/>
      <c r="L136" s="321"/>
      <c r="M136" s="533"/>
      <c r="N136" s="417"/>
      <c r="O136" s="321"/>
      <c r="P136" s="533"/>
      <c r="Q136" s="408"/>
      <c r="R136" s="847"/>
      <c r="S136" s="848"/>
      <c r="T136" s="849"/>
      <c r="U136" s="850"/>
    </row>
    <row r="137" spans="1:24" s="3" customFormat="1" ht="17.25" customHeight="1" x14ac:dyDescent="0.25">
      <c r="A137" s="639"/>
      <c r="B137" s="637"/>
      <c r="C137" s="202"/>
      <c r="D137" s="2469" t="s">
        <v>229</v>
      </c>
      <c r="E137" s="466"/>
      <c r="F137" s="851"/>
      <c r="G137" s="1004"/>
      <c r="H137" s="1012"/>
      <c r="I137" s="262"/>
      <c r="J137" s="811"/>
      <c r="K137" s="137"/>
      <c r="L137" s="853"/>
      <c r="M137" s="854"/>
      <c r="N137" s="247"/>
      <c r="O137" s="853"/>
      <c r="P137" s="854"/>
      <c r="Q137" s="857" t="s">
        <v>62</v>
      </c>
      <c r="R137" s="315">
        <v>1</v>
      </c>
      <c r="S137" s="627"/>
      <c r="T137" s="316"/>
      <c r="U137" s="780"/>
    </row>
    <row r="138" spans="1:24" s="3" customFormat="1" ht="17.25" customHeight="1" x14ac:dyDescent="0.25">
      <c r="A138" s="639"/>
      <c r="B138" s="637"/>
      <c r="C138" s="202"/>
      <c r="D138" s="2469"/>
      <c r="E138" s="466"/>
      <c r="F138" s="851"/>
      <c r="G138" s="1004"/>
      <c r="H138" s="907"/>
      <c r="I138" s="230"/>
      <c r="J138" s="535"/>
      <c r="K138" s="14"/>
      <c r="L138" s="230"/>
      <c r="M138" s="535"/>
      <c r="N138" s="217"/>
      <c r="O138" s="230"/>
      <c r="P138" s="535"/>
      <c r="Q138" s="357" t="s">
        <v>186</v>
      </c>
      <c r="R138" s="84">
        <v>80</v>
      </c>
      <c r="S138" s="111">
        <v>100</v>
      </c>
      <c r="T138" s="287"/>
      <c r="U138" s="781"/>
    </row>
    <row r="139" spans="1:24" s="3" customFormat="1" ht="17.25" customHeight="1" x14ac:dyDescent="0.25">
      <c r="A139" s="639"/>
      <c r="B139" s="637"/>
      <c r="C139" s="202"/>
      <c r="D139" s="2469"/>
      <c r="E139" s="466"/>
      <c r="F139" s="851"/>
      <c r="G139" s="104"/>
      <c r="H139" s="907"/>
      <c r="I139" s="230"/>
      <c r="J139" s="535"/>
      <c r="K139" s="14"/>
      <c r="L139" s="230"/>
      <c r="M139" s="535"/>
      <c r="N139" s="217"/>
      <c r="O139" s="230"/>
      <c r="P139" s="535"/>
      <c r="Q139" s="109" t="s">
        <v>225</v>
      </c>
      <c r="R139" s="550"/>
      <c r="S139" s="551">
        <v>100</v>
      </c>
      <c r="T139" s="552"/>
      <c r="U139" s="782"/>
    </row>
    <row r="140" spans="1:24" s="3" customFormat="1" ht="15.75" customHeight="1" x14ac:dyDescent="0.25">
      <c r="A140" s="639"/>
      <c r="B140" s="637"/>
      <c r="C140" s="202"/>
      <c r="D140" s="2544" t="s">
        <v>278</v>
      </c>
      <c r="E140" s="466"/>
      <c r="F140" s="851"/>
      <c r="G140" s="1017" t="s">
        <v>279</v>
      </c>
      <c r="H140" s="1018">
        <v>105.6</v>
      </c>
      <c r="I140" s="1019">
        <v>15.6</v>
      </c>
      <c r="J140" s="1020">
        <f>+I140-H140</f>
        <v>-90</v>
      </c>
      <c r="K140" s="138"/>
      <c r="L140" s="1022">
        <v>90</v>
      </c>
      <c r="M140" s="1023">
        <f>+L140-K140</f>
        <v>90</v>
      </c>
      <c r="N140" s="417"/>
      <c r="O140" s="321"/>
      <c r="P140" s="533"/>
      <c r="Q140" s="866" t="s">
        <v>62</v>
      </c>
      <c r="R140" s="547">
        <v>1</v>
      </c>
      <c r="S140" s="1054"/>
      <c r="T140" s="549"/>
      <c r="U140" s="2661" t="s">
        <v>286</v>
      </c>
    </row>
    <row r="141" spans="1:24" s="3" customFormat="1" ht="27.75" customHeight="1" x14ac:dyDescent="0.25">
      <c r="A141" s="639"/>
      <c r="B141" s="637"/>
      <c r="C141" s="202"/>
      <c r="D141" s="2545"/>
      <c r="E141" s="466"/>
      <c r="F141" s="851"/>
      <c r="G141" s="1005"/>
      <c r="H141" s="907"/>
      <c r="I141" s="230"/>
      <c r="J141" s="535"/>
      <c r="K141" s="137"/>
      <c r="L141" s="262"/>
      <c r="M141" s="811"/>
      <c r="N141" s="217"/>
      <c r="O141" s="230"/>
      <c r="P141" s="535"/>
      <c r="Q141" s="857" t="s">
        <v>158</v>
      </c>
      <c r="R141" s="315" t="s">
        <v>280</v>
      </c>
      <c r="S141" s="1055">
        <v>100</v>
      </c>
      <c r="T141" s="316"/>
      <c r="U141" s="2676"/>
    </row>
    <row r="142" spans="1:24" s="3" customFormat="1" ht="17.25" customHeight="1" x14ac:dyDescent="0.25">
      <c r="A142" s="639"/>
      <c r="B142" s="637"/>
      <c r="C142" s="202"/>
      <c r="D142" s="2546"/>
      <c r="E142" s="573"/>
      <c r="F142" s="867"/>
      <c r="G142" s="1006"/>
      <c r="H142" s="905"/>
      <c r="I142" s="234"/>
      <c r="J142" s="532"/>
      <c r="K142" s="56"/>
      <c r="L142" s="234"/>
      <c r="M142" s="532"/>
      <c r="N142" s="221"/>
      <c r="O142" s="234"/>
      <c r="P142" s="532"/>
      <c r="Q142" s="868" t="s">
        <v>137</v>
      </c>
      <c r="R142" s="315"/>
      <c r="S142" s="1055">
        <v>100</v>
      </c>
      <c r="T142" s="316"/>
      <c r="U142" s="2662"/>
    </row>
    <row r="143" spans="1:24" s="2" customFormat="1" ht="51" customHeight="1" x14ac:dyDescent="0.25">
      <c r="A143" s="639"/>
      <c r="B143" s="637"/>
      <c r="C143" s="713"/>
      <c r="D143" s="2545" t="s">
        <v>271</v>
      </c>
      <c r="E143" s="2375" t="s">
        <v>121</v>
      </c>
      <c r="F143" s="851"/>
      <c r="G143" s="1007" t="s">
        <v>270</v>
      </c>
      <c r="H143" s="901">
        <v>96</v>
      </c>
      <c r="I143" s="903">
        <v>43.2</v>
      </c>
      <c r="J143" s="904">
        <f>+I143-H143</f>
        <v>-52.8</v>
      </c>
      <c r="K143" s="901">
        <v>639.4</v>
      </c>
      <c r="L143" s="903">
        <v>692.2</v>
      </c>
      <c r="M143" s="904">
        <f>+L143-K143</f>
        <v>52.800000000000068</v>
      </c>
      <c r="N143" s="544">
        <v>2721.6</v>
      </c>
      <c r="O143" s="598">
        <v>2721.6</v>
      </c>
      <c r="P143" s="902"/>
      <c r="Q143" s="188" t="s">
        <v>62</v>
      </c>
      <c r="R143" s="983">
        <v>1</v>
      </c>
      <c r="S143" s="982">
        <v>1</v>
      </c>
      <c r="T143" s="419"/>
      <c r="U143" s="2330" t="s">
        <v>277</v>
      </c>
      <c r="V143" s="3"/>
    </row>
    <row r="144" spans="1:24" s="2" customFormat="1" ht="66" customHeight="1" x14ac:dyDescent="0.25">
      <c r="A144" s="639"/>
      <c r="B144" s="637"/>
      <c r="C144" s="713"/>
      <c r="D144" s="2546"/>
      <c r="E144" s="2376"/>
      <c r="F144" s="851"/>
      <c r="G144" s="191"/>
      <c r="H144" s="1013"/>
      <c r="I144" s="999"/>
      <c r="J144" s="356"/>
      <c r="K144" s="874"/>
      <c r="L144" s="893"/>
      <c r="M144" s="356"/>
      <c r="N144" s="895"/>
      <c r="O144" s="893"/>
      <c r="P144" s="356"/>
      <c r="Q144" s="860" t="s">
        <v>187</v>
      </c>
      <c r="R144" s="984"/>
      <c r="S144" s="985" t="s">
        <v>272</v>
      </c>
      <c r="T144" s="870">
        <v>100</v>
      </c>
      <c r="U144" s="2519"/>
    </row>
    <row r="145" spans="1:24" s="3" customFormat="1" ht="36" customHeight="1" x14ac:dyDescent="0.25">
      <c r="A145" s="639"/>
      <c r="B145" s="637"/>
      <c r="C145" s="64"/>
      <c r="D145" s="1056" t="s">
        <v>223</v>
      </c>
      <c r="E145" s="865"/>
      <c r="F145" s="851"/>
      <c r="G145" s="104"/>
      <c r="H145" s="1012"/>
      <c r="I145" s="262"/>
      <c r="J145" s="811"/>
      <c r="K145" s="137"/>
      <c r="L145" s="262"/>
      <c r="M145" s="811"/>
      <c r="N145" s="247"/>
      <c r="O145" s="262"/>
      <c r="P145" s="811"/>
      <c r="Q145" s="357" t="s">
        <v>159</v>
      </c>
      <c r="R145" s="698">
        <v>60</v>
      </c>
      <c r="S145" s="447">
        <v>100</v>
      </c>
      <c r="T145" s="484"/>
      <c r="U145" s="783"/>
    </row>
    <row r="146" spans="1:24" s="48" customFormat="1" ht="20.25" customHeight="1" x14ac:dyDescent="0.25">
      <c r="A146" s="583"/>
      <c r="B146" s="152"/>
      <c r="C146" s="153"/>
      <c r="D146" s="2370" t="s">
        <v>126</v>
      </c>
      <c r="E146" s="684" t="s">
        <v>66</v>
      </c>
      <c r="F146" s="411">
        <v>1</v>
      </c>
      <c r="G146" s="2713" t="s">
        <v>22</v>
      </c>
      <c r="H146" s="2715">
        <v>350</v>
      </c>
      <c r="I146" s="2686">
        <v>350</v>
      </c>
      <c r="J146" s="343"/>
      <c r="K146" s="2717"/>
      <c r="L146" s="2686"/>
      <c r="M146" s="343"/>
      <c r="N146" s="2720"/>
      <c r="O146" s="2686"/>
      <c r="P146" s="343"/>
      <c r="Q146" s="640" t="s">
        <v>242</v>
      </c>
      <c r="R146" s="529">
        <v>2</v>
      </c>
      <c r="S146" s="412"/>
      <c r="T146" s="413"/>
      <c r="U146" s="784"/>
    </row>
    <row r="147" spans="1:24" s="48" customFormat="1" ht="24" customHeight="1" x14ac:dyDescent="0.25">
      <c r="A147" s="583"/>
      <c r="B147" s="154"/>
      <c r="C147" s="153"/>
      <c r="D147" s="2371"/>
      <c r="E147" s="708"/>
      <c r="F147" s="299"/>
      <c r="G147" s="2714"/>
      <c r="H147" s="2716"/>
      <c r="I147" s="2687"/>
      <c r="J147" s="356"/>
      <c r="K147" s="2718"/>
      <c r="L147" s="2687"/>
      <c r="M147" s="356"/>
      <c r="N147" s="2721"/>
      <c r="O147" s="2687"/>
      <c r="P147" s="356"/>
      <c r="Q147" s="409"/>
      <c r="R147" s="530"/>
      <c r="S147" s="410"/>
      <c r="T147" s="389"/>
      <c r="U147" s="785"/>
    </row>
    <row r="148" spans="1:24" s="1" customFormat="1" ht="30.75" customHeight="1" x14ac:dyDescent="0.2">
      <c r="A148" s="579"/>
      <c r="B148" s="637"/>
      <c r="C148" s="664"/>
      <c r="D148" s="2719" t="s">
        <v>141</v>
      </c>
      <c r="E148" s="553"/>
      <c r="F148" s="303" t="s">
        <v>58</v>
      </c>
      <c r="G148" s="1008" t="s">
        <v>22</v>
      </c>
      <c r="H148" s="1014">
        <v>75.900000000000006</v>
      </c>
      <c r="I148" s="955">
        <f>75.9+3</f>
        <v>78.900000000000006</v>
      </c>
      <c r="J148" s="1015">
        <f>+I148-H148</f>
        <v>3</v>
      </c>
      <c r="K148" s="342"/>
      <c r="L148" s="434"/>
      <c r="M148" s="490"/>
      <c r="N148" s="384"/>
      <c r="O148" s="434"/>
      <c r="P148" s="490"/>
      <c r="Q148" s="527" t="s">
        <v>140</v>
      </c>
      <c r="R148" s="503">
        <v>9</v>
      </c>
      <c r="S148" s="467">
        <v>9</v>
      </c>
      <c r="T148" s="419">
        <v>9</v>
      </c>
      <c r="U148" s="2677" t="s">
        <v>273</v>
      </c>
      <c r="X148" s="68"/>
    </row>
    <row r="149" spans="1:24" s="1" customFormat="1" ht="30.75" customHeight="1" x14ac:dyDescent="0.2">
      <c r="A149" s="579"/>
      <c r="B149" s="637"/>
      <c r="C149" s="664"/>
      <c r="D149" s="2719"/>
      <c r="E149" s="468"/>
      <c r="F149" s="304"/>
      <c r="G149" s="1009" t="s">
        <v>164</v>
      </c>
      <c r="H149" s="1016">
        <v>9.1999999999999993</v>
      </c>
      <c r="I149" s="987">
        <f>9.2+16.7</f>
        <v>25.9</v>
      </c>
      <c r="J149" s="1015">
        <f>+I149-H149</f>
        <v>16.7</v>
      </c>
      <c r="K149" s="59"/>
      <c r="L149" s="259"/>
      <c r="M149" s="327"/>
      <c r="N149" s="244"/>
      <c r="O149" s="259"/>
      <c r="P149" s="327"/>
      <c r="Q149" s="470"/>
      <c r="R149" s="504"/>
      <c r="S149" s="366"/>
      <c r="T149" s="469"/>
      <c r="U149" s="2679"/>
      <c r="X149" s="68"/>
    </row>
    <row r="150" spans="1:24" s="2" customFormat="1" ht="16.5" customHeight="1" thickBot="1" x14ac:dyDescent="0.3">
      <c r="A150" s="642"/>
      <c r="B150" s="643"/>
      <c r="C150" s="203"/>
      <c r="D150" s="2359" t="s">
        <v>34</v>
      </c>
      <c r="E150" s="2360"/>
      <c r="F150" s="2360"/>
      <c r="G150" s="2360"/>
      <c r="H150" s="1026">
        <f t="shared" ref="H150:P150" si="16">SUM(H134:H149)-H143-H140</f>
        <v>1385.4000000000003</v>
      </c>
      <c r="I150" s="610">
        <f t="shared" si="16"/>
        <v>1262.3000000000004</v>
      </c>
      <c r="J150" s="842">
        <f t="shared" si="16"/>
        <v>-123.10000000000002</v>
      </c>
      <c r="K150" s="1026">
        <f t="shared" si="16"/>
        <v>1249.1999999999998</v>
      </c>
      <c r="L150" s="610">
        <f t="shared" si="16"/>
        <v>1339.2</v>
      </c>
      <c r="M150" s="842">
        <f t="shared" si="16"/>
        <v>90</v>
      </c>
      <c r="N150" s="1026">
        <f t="shared" si="16"/>
        <v>2721.6</v>
      </c>
      <c r="O150" s="610">
        <f t="shared" si="16"/>
        <v>2721.6</v>
      </c>
      <c r="P150" s="842">
        <f t="shared" si="16"/>
        <v>0</v>
      </c>
      <c r="Q150" s="2361"/>
      <c r="R150" s="2710"/>
      <c r="S150" s="2710"/>
      <c r="T150" s="2710"/>
      <c r="U150" s="2711"/>
    </row>
    <row r="151" spans="1:24" s="2" customFormat="1" ht="16.5" customHeight="1" thickBot="1" x14ac:dyDescent="0.3">
      <c r="A151" s="577" t="s">
        <v>15</v>
      </c>
      <c r="B151" s="71" t="s">
        <v>39</v>
      </c>
      <c r="C151" s="2364" t="s">
        <v>43</v>
      </c>
      <c r="D151" s="2332"/>
      <c r="E151" s="2332"/>
      <c r="F151" s="2332"/>
      <c r="G151" s="2712"/>
      <c r="H151" s="241">
        <f>H150</f>
        <v>1385.4000000000003</v>
      </c>
      <c r="I151" s="241">
        <f>I150</f>
        <v>1262.3000000000004</v>
      </c>
      <c r="J151" s="841">
        <f>J150</f>
        <v>-123.10000000000002</v>
      </c>
      <c r="K151" s="63">
        <f t="shared" ref="K151" si="17">K150</f>
        <v>1249.1999999999998</v>
      </c>
      <c r="L151" s="241">
        <f t="shared" ref="L151:M151" si="18">L150</f>
        <v>1339.2</v>
      </c>
      <c r="M151" s="382">
        <f t="shared" si="18"/>
        <v>90</v>
      </c>
      <c r="N151" s="305">
        <f t="shared" ref="N151:P151" si="19">N150</f>
        <v>2721.6</v>
      </c>
      <c r="O151" s="241">
        <f t="shared" si="19"/>
        <v>2721.6</v>
      </c>
      <c r="P151" s="241">
        <f t="shared" si="19"/>
        <v>0</v>
      </c>
      <c r="Q151" s="2333"/>
      <c r="R151" s="2334"/>
      <c r="S151" s="2334"/>
      <c r="T151" s="2334"/>
      <c r="U151" s="2335"/>
    </row>
    <row r="152" spans="1:24" s="1" customFormat="1" ht="16.5" customHeight="1" thickBot="1" x14ac:dyDescent="0.25">
      <c r="A152" s="577" t="s">
        <v>15</v>
      </c>
      <c r="B152" s="71" t="s">
        <v>41</v>
      </c>
      <c r="C152" s="2365" t="s">
        <v>67</v>
      </c>
      <c r="D152" s="2366"/>
      <c r="E152" s="2366"/>
      <c r="F152" s="2366"/>
      <c r="G152" s="2366"/>
      <c r="H152" s="2366"/>
      <c r="I152" s="2366"/>
      <c r="J152" s="2366"/>
      <c r="K152" s="2366"/>
      <c r="L152" s="2366"/>
      <c r="M152" s="2366"/>
      <c r="N152" s="2366"/>
      <c r="O152" s="2366"/>
      <c r="P152" s="2366"/>
      <c r="Q152" s="2366"/>
      <c r="R152" s="2366"/>
      <c r="S152" s="2366"/>
      <c r="T152" s="2366"/>
      <c r="U152" s="2367"/>
    </row>
    <row r="153" spans="1:24" s="1" customFormat="1" ht="26.25" customHeight="1" x14ac:dyDescent="0.2">
      <c r="A153" s="651" t="s">
        <v>15</v>
      </c>
      <c r="B153" s="652" t="s">
        <v>41</v>
      </c>
      <c r="C153" s="653" t="s">
        <v>15</v>
      </c>
      <c r="D153" s="72" t="s">
        <v>68</v>
      </c>
      <c r="E153" s="158"/>
      <c r="F153" s="73"/>
      <c r="G153" s="193"/>
      <c r="H153" s="50"/>
      <c r="I153" s="278"/>
      <c r="J153" s="275"/>
      <c r="K153" s="50"/>
      <c r="L153" s="278"/>
      <c r="M153" s="338"/>
      <c r="N153" s="275"/>
      <c r="O153" s="278"/>
      <c r="P153" s="338"/>
      <c r="Q153" s="74"/>
      <c r="R153" s="694"/>
      <c r="S153" s="657"/>
      <c r="T153" s="696"/>
      <c r="U153" s="779"/>
    </row>
    <row r="154" spans="1:24" s="1" customFormat="1" ht="15.75" customHeight="1" x14ac:dyDescent="0.2">
      <c r="A154" s="639"/>
      <c r="B154" s="637"/>
      <c r="C154" s="654"/>
      <c r="D154" s="2330" t="s">
        <v>136</v>
      </c>
      <c r="E154" s="345"/>
      <c r="F154" s="73">
        <v>1</v>
      </c>
      <c r="G154" s="369" t="s">
        <v>22</v>
      </c>
      <c r="H154" s="70">
        <v>350</v>
      </c>
      <c r="I154" s="279">
        <v>350</v>
      </c>
      <c r="J154" s="276"/>
      <c r="K154" s="70">
        <v>350</v>
      </c>
      <c r="L154" s="279">
        <v>350</v>
      </c>
      <c r="M154" s="339"/>
      <c r="N154" s="276">
        <v>350</v>
      </c>
      <c r="O154" s="279">
        <v>350</v>
      </c>
      <c r="P154" s="339"/>
      <c r="Q154" s="168" t="s">
        <v>135</v>
      </c>
      <c r="R154" s="75">
        <v>10</v>
      </c>
      <c r="S154" s="377">
        <v>10</v>
      </c>
      <c r="T154" s="390">
        <v>10</v>
      </c>
      <c r="U154" s="786"/>
    </row>
    <row r="155" spans="1:24" s="1" customFormat="1" ht="15.75" customHeight="1" x14ac:dyDescent="0.2">
      <c r="A155" s="639"/>
      <c r="B155" s="637"/>
      <c r="C155" s="654"/>
      <c r="D155" s="2331"/>
      <c r="E155" s="157"/>
      <c r="F155" s="114"/>
      <c r="G155" s="370" t="s">
        <v>26</v>
      </c>
      <c r="H155" s="16">
        <f>SUM(H154:H154)</f>
        <v>350</v>
      </c>
      <c r="I155" s="232">
        <f>SUM(I154:I154)</f>
        <v>350</v>
      </c>
      <c r="J155" s="219"/>
      <c r="K155" s="16">
        <f>SUM(K154:K154)</f>
        <v>350</v>
      </c>
      <c r="L155" s="232">
        <f>SUM(L154:L154)</f>
        <v>350</v>
      </c>
      <c r="M155" s="383"/>
      <c r="N155" s="219">
        <f>SUM(N154:N154)</f>
        <v>350</v>
      </c>
      <c r="O155" s="232">
        <f>SUM(O154:O154)</f>
        <v>350</v>
      </c>
      <c r="P155" s="383"/>
      <c r="Q155" s="170"/>
      <c r="R155" s="77"/>
      <c r="S155" s="368"/>
      <c r="T155" s="392"/>
      <c r="U155" s="787"/>
    </row>
    <row r="156" spans="1:24" s="1" customFormat="1" ht="73.5" customHeight="1" x14ac:dyDescent="0.2">
      <c r="A156" s="639"/>
      <c r="B156" s="637"/>
      <c r="C156" s="654"/>
      <c r="D156" s="2542" t="s">
        <v>151</v>
      </c>
      <c r="E156" s="2357" t="s">
        <v>125</v>
      </c>
      <c r="F156" s="58">
        <v>5</v>
      </c>
      <c r="G156" s="369" t="s">
        <v>22</v>
      </c>
      <c r="H156" s="342">
        <v>200</v>
      </c>
      <c r="I156" s="434">
        <v>200</v>
      </c>
      <c r="J156" s="384"/>
      <c r="K156" s="70">
        <v>73.5</v>
      </c>
      <c r="L156" s="279">
        <v>73.5</v>
      </c>
      <c r="M156" s="339"/>
      <c r="N156" s="276"/>
      <c r="O156" s="279"/>
      <c r="P156" s="339"/>
      <c r="Q156" s="349" t="s">
        <v>69</v>
      </c>
      <c r="R156" s="1045" t="s">
        <v>283</v>
      </c>
      <c r="S156" s="1046" t="s">
        <v>284</v>
      </c>
      <c r="T156" s="1047">
        <v>100</v>
      </c>
      <c r="U156" s="2677" t="s">
        <v>285</v>
      </c>
      <c r="W156" s="68"/>
    </row>
    <row r="157" spans="1:24" s="1" customFormat="1" ht="73.5" customHeight="1" x14ac:dyDescent="0.2">
      <c r="A157" s="639"/>
      <c r="B157" s="637"/>
      <c r="C157" s="654"/>
      <c r="D157" s="2543"/>
      <c r="E157" s="2351"/>
      <c r="F157" s="58"/>
      <c r="G157" s="369" t="s">
        <v>164</v>
      </c>
      <c r="H157" s="342">
        <v>362</v>
      </c>
      <c r="I157" s="434">
        <v>362</v>
      </c>
      <c r="J157" s="384"/>
      <c r="K157" s="70"/>
      <c r="L157" s="279"/>
      <c r="M157" s="339"/>
      <c r="N157" s="276"/>
      <c r="O157" s="279"/>
      <c r="P157" s="339"/>
      <c r="Q157" s="1048" t="s">
        <v>281</v>
      </c>
      <c r="R157" s="1049">
        <v>1</v>
      </c>
      <c r="S157" s="1050"/>
      <c r="T157" s="1051"/>
      <c r="U157" s="2678"/>
      <c r="W157" s="68"/>
    </row>
    <row r="158" spans="1:24" s="1" customFormat="1" ht="73.5" customHeight="1" x14ac:dyDescent="0.2">
      <c r="A158" s="639"/>
      <c r="B158" s="637"/>
      <c r="C158" s="654"/>
      <c r="D158" s="2543"/>
      <c r="E158" s="2358"/>
      <c r="F158" s="58"/>
      <c r="G158" s="17" t="s">
        <v>168</v>
      </c>
      <c r="H158" s="70">
        <v>2534.4</v>
      </c>
      <c r="I158" s="955">
        <v>1200</v>
      </c>
      <c r="J158" s="806">
        <f>+I158-H158</f>
        <v>-1334.4</v>
      </c>
      <c r="K158" s="70">
        <v>468.5</v>
      </c>
      <c r="L158" s="955">
        <f>468.5+1334.4</f>
        <v>1802.9</v>
      </c>
      <c r="M158" s="1015">
        <f>+L158-K158</f>
        <v>1334.4</v>
      </c>
      <c r="N158" s="276"/>
      <c r="O158" s="279"/>
      <c r="P158" s="339"/>
      <c r="Q158" s="1036" t="s">
        <v>282</v>
      </c>
      <c r="R158" s="1032"/>
      <c r="S158" s="1033"/>
      <c r="T158" s="1034">
        <v>1</v>
      </c>
      <c r="U158" s="2678"/>
    </row>
    <row r="159" spans="1:24" s="1" customFormat="1" ht="14.25" customHeight="1" x14ac:dyDescent="0.2">
      <c r="A159" s="639"/>
      <c r="B159" s="637"/>
      <c r="C159" s="664"/>
      <c r="D159" s="2706"/>
      <c r="E159" s="555" t="s">
        <v>66</v>
      </c>
      <c r="F159" s="554"/>
      <c r="G159" s="471" t="s">
        <v>26</v>
      </c>
      <c r="H159" s="134">
        <f t="shared" ref="H159:O159" si="20">SUM(H156:H158)</f>
        <v>3096.4</v>
      </c>
      <c r="I159" s="233">
        <f t="shared" si="20"/>
        <v>1762</v>
      </c>
      <c r="J159" s="1024">
        <f t="shared" si="20"/>
        <v>-1334.4</v>
      </c>
      <c r="K159" s="134">
        <f t="shared" si="20"/>
        <v>542</v>
      </c>
      <c r="L159" s="233">
        <f t="shared" si="20"/>
        <v>1876.4</v>
      </c>
      <c r="M159" s="1025">
        <f t="shared" si="20"/>
        <v>1334.4</v>
      </c>
      <c r="N159" s="220">
        <f t="shared" si="20"/>
        <v>0</v>
      </c>
      <c r="O159" s="233">
        <f t="shared" si="20"/>
        <v>0</v>
      </c>
      <c r="P159" s="340"/>
      <c r="Q159" s="1035"/>
      <c r="R159" s="1052"/>
      <c r="S159" s="551"/>
      <c r="T159" s="1053"/>
      <c r="U159" s="2679"/>
    </row>
    <row r="160" spans="1:24" s="1" customFormat="1" ht="30.75" customHeight="1" x14ac:dyDescent="0.2">
      <c r="A160" s="639"/>
      <c r="B160" s="637"/>
      <c r="C160" s="654"/>
      <c r="D160" s="2331" t="s">
        <v>173</v>
      </c>
      <c r="E160" s="332"/>
      <c r="F160" s="663">
        <v>5</v>
      </c>
      <c r="G160" s="574" t="s">
        <v>22</v>
      </c>
      <c r="H160" s="132">
        <v>61</v>
      </c>
      <c r="I160" s="270">
        <v>61</v>
      </c>
      <c r="J160" s="255"/>
      <c r="K160" s="132"/>
      <c r="L160" s="270"/>
      <c r="M160" s="199"/>
      <c r="N160" s="255"/>
      <c r="O160" s="270"/>
      <c r="P160" s="199"/>
      <c r="Q160" s="649" t="s">
        <v>174</v>
      </c>
      <c r="R160" s="187">
        <v>100</v>
      </c>
      <c r="S160" s="447"/>
      <c r="T160" s="391"/>
      <c r="U160" s="783"/>
    </row>
    <row r="161" spans="1:28" s="1" customFormat="1" ht="15" customHeight="1" x14ac:dyDescent="0.2">
      <c r="A161" s="639"/>
      <c r="B161" s="637"/>
      <c r="C161" s="654"/>
      <c r="D161" s="2331"/>
      <c r="E161" s="333"/>
      <c r="F161" s="663"/>
      <c r="G161" s="472" t="s">
        <v>26</v>
      </c>
      <c r="H161" s="334">
        <f>SUM(H160:H160)</f>
        <v>61</v>
      </c>
      <c r="I161" s="335">
        <f>SUM(I160:I160)</f>
        <v>61</v>
      </c>
      <c r="J161" s="336"/>
      <c r="K161" s="334"/>
      <c r="L161" s="335"/>
      <c r="M161" s="350"/>
      <c r="N161" s="336"/>
      <c r="O161" s="335"/>
      <c r="P161" s="350"/>
      <c r="Q161" s="693"/>
      <c r="R161" s="337"/>
      <c r="S161" s="368"/>
      <c r="T161" s="392"/>
      <c r="U161" s="787"/>
    </row>
    <row r="162" spans="1:28" s="1" customFormat="1" ht="15" customHeight="1" thickBot="1" x14ac:dyDescent="0.25">
      <c r="A162" s="639"/>
      <c r="B162" s="637"/>
      <c r="C162" s="654"/>
      <c r="D162" s="2707" t="s">
        <v>34</v>
      </c>
      <c r="E162" s="2708"/>
      <c r="F162" s="2708"/>
      <c r="G162" s="2708"/>
      <c r="H162" s="908">
        <f>+H161+H159+H155</f>
        <v>3507.4</v>
      </c>
      <c r="I162" s="909">
        <f>+I161+I159+I155</f>
        <v>2173</v>
      </c>
      <c r="J162" s="909">
        <f>+J161+J159+J155</f>
        <v>-1334.4</v>
      </c>
      <c r="K162" s="1026">
        <f t="shared" ref="K162" si="21">+K161+K159+K155</f>
        <v>892</v>
      </c>
      <c r="L162" s="610">
        <f t="shared" ref="L162:M162" si="22">+L161+L159+L155</f>
        <v>2226.4</v>
      </c>
      <c r="M162" s="610">
        <f t="shared" si="22"/>
        <v>1334.4</v>
      </c>
      <c r="N162" s="910">
        <f t="shared" ref="N162:O162" si="23">+N161+N159+N155</f>
        <v>350</v>
      </c>
      <c r="O162" s="909">
        <f t="shared" si="23"/>
        <v>350</v>
      </c>
      <c r="P162" s="911"/>
      <c r="Q162" s="169"/>
      <c r="R162" s="77"/>
      <c r="S162" s="368"/>
      <c r="T162" s="392"/>
      <c r="U162" s="787"/>
    </row>
    <row r="163" spans="1:28" s="1" customFormat="1" ht="18" customHeight="1" x14ac:dyDescent="0.2">
      <c r="A163" s="881" t="s">
        <v>15</v>
      </c>
      <c r="B163" s="883" t="s">
        <v>41</v>
      </c>
      <c r="C163" s="912" t="s">
        <v>35</v>
      </c>
      <c r="D163" s="2709" t="s">
        <v>70</v>
      </c>
      <c r="E163" s="2350" t="s">
        <v>118</v>
      </c>
      <c r="F163" s="875" t="s">
        <v>19</v>
      </c>
      <c r="G163" s="890" t="s">
        <v>46</v>
      </c>
      <c r="H163" s="50">
        <v>1150</v>
      </c>
      <c r="I163" s="278">
        <v>1150</v>
      </c>
      <c r="J163" s="338"/>
      <c r="K163" s="50">
        <v>1110</v>
      </c>
      <c r="L163" s="278">
        <v>1110</v>
      </c>
      <c r="M163" s="338"/>
      <c r="N163" s="50">
        <v>1070</v>
      </c>
      <c r="O163" s="278">
        <v>1070</v>
      </c>
      <c r="P163" s="338"/>
      <c r="Q163" s="688"/>
      <c r="R163" s="694"/>
      <c r="S163" s="891"/>
      <c r="T163" s="696"/>
      <c r="U163" s="2658"/>
    </row>
    <row r="164" spans="1:28" s="1" customFormat="1" ht="18" customHeight="1" x14ac:dyDescent="0.2">
      <c r="A164" s="882"/>
      <c r="B164" s="884"/>
      <c r="C164" s="78"/>
      <c r="D164" s="2349"/>
      <c r="E164" s="2351"/>
      <c r="F164" s="876"/>
      <c r="G164" s="12" t="s">
        <v>94</v>
      </c>
      <c r="H164" s="913">
        <v>770.6</v>
      </c>
      <c r="I164" s="281">
        <v>770.6</v>
      </c>
      <c r="J164" s="341"/>
      <c r="K164" s="65"/>
      <c r="L164" s="281"/>
      <c r="M164" s="341"/>
      <c r="N164" s="277"/>
      <c r="O164" s="281"/>
      <c r="P164" s="341"/>
      <c r="Q164" s="862"/>
      <c r="R164" s="695"/>
      <c r="S164" s="101"/>
      <c r="T164" s="691"/>
      <c r="U164" s="2659"/>
    </row>
    <row r="165" spans="1:28" s="1" customFormat="1" ht="18" customHeight="1" x14ac:dyDescent="0.2">
      <c r="A165" s="882"/>
      <c r="B165" s="884"/>
      <c r="C165" s="78"/>
      <c r="D165" s="2349"/>
      <c r="E165" s="2351"/>
      <c r="F165" s="876"/>
      <c r="G165" s="12" t="s">
        <v>37</v>
      </c>
      <c r="H165" s="622">
        <v>6.6</v>
      </c>
      <c r="I165" s="623">
        <v>6.6</v>
      </c>
      <c r="J165" s="624"/>
      <c r="K165" s="622">
        <v>6.6</v>
      </c>
      <c r="L165" s="623">
        <v>6.6</v>
      </c>
      <c r="M165" s="624"/>
      <c r="N165" s="728">
        <v>6.6</v>
      </c>
      <c r="O165" s="623">
        <v>6.6</v>
      </c>
      <c r="P165" s="624"/>
      <c r="Q165" s="862"/>
      <c r="R165" s="695"/>
      <c r="S165" s="101"/>
      <c r="T165" s="691"/>
      <c r="U165" s="2660"/>
    </row>
    <row r="166" spans="1:28" s="1" customFormat="1" ht="42" customHeight="1" x14ac:dyDescent="0.2">
      <c r="A166" s="882"/>
      <c r="B166" s="884"/>
      <c r="C166" s="127"/>
      <c r="D166" s="394" t="s">
        <v>71</v>
      </c>
      <c r="E166" s="2358"/>
      <c r="F166" s="876"/>
      <c r="G166" s="964"/>
      <c r="H166" s="965"/>
      <c r="I166" s="969"/>
      <c r="J166" s="970"/>
      <c r="K166" s="965"/>
      <c r="L166" s="966"/>
      <c r="M166" s="967"/>
      <c r="N166" s="968"/>
      <c r="O166" s="966"/>
      <c r="P166" s="967"/>
      <c r="Q166" s="207" t="s">
        <v>234</v>
      </c>
      <c r="R166" s="563">
        <v>56</v>
      </c>
      <c r="S166" s="563">
        <v>55</v>
      </c>
      <c r="T166" s="564">
        <v>54</v>
      </c>
      <c r="U166" s="2661"/>
    </row>
    <row r="167" spans="1:28" s="1" customFormat="1" ht="67.5" customHeight="1" x14ac:dyDescent="0.2">
      <c r="A167" s="882"/>
      <c r="B167" s="884"/>
      <c r="C167" s="78"/>
      <c r="D167" s="976" t="s">
        <v>72</v>
      </c>
      <c r="E167" s="345"/>
      <c r="F167" s="876"/>
      <c r="G167" s="709"/>
      <c r="H167" s="59"/>
      <c r="I167" s="259"/>
      <c r="J167" s="327"/>
      <c r="K167" s="59"/>
      <c r="L167" s="259"/>
      <c r="M167" s="327"/>
      <c r="N167" s="244"/>
      <c r="O167" s="259"/>
      <c r="P167" s="327"/>
      <c r="Q167" s="679" t="s">
        <v>108</v>
      </c>
      <c r="R167" s="378">
        <v>130</v>
      </c>
      <c r="S167" s="378">
        <v>130</v>
      </c>
      <c r="T167" s="140">
        <v>140</v>
      </c>
      <c r="U167" s="2662"/>
    </row>
    <row r="168" spans="1:28" s="1" customFormat="1" ht="57" customHeight="1" x14ac:dyDescent="0.2">
      <c r="A168" s="882"/>
      <c r="B168" s="884"/>
      <c r="C168" s="78"/>
      <c r="D168" s="975" t="s">
        <v>73</v>
      </c>
      <c r="E168" s="159"/>
      <c r="F168" s="876"/>
      <c r="G168" s="709"/>
      <c r="H168" s="715"/>
      <c r="I168" s="612"/>
      <c r="J168" s="613"/>
      <c r="K168" s="715"/>
      <c r="L168" s="612"/>
      <c r="M168" s="613"/>
      <c r="N168" s="871"/>
      <c r="O168" s="612"/>
      <c r="P168" s="613"/>
      <c r="Q168" s="872" t="s">
        <v>109</v>
      </c>
      <c r="R168" s="136">
        <v>70</v>
      </c>
      <c r="S168" s="136">
        <v>60</v>
      </c>
      <c r="T168" s="80">
        <v>60</v>
      </c>
      <c r="U168" s="788"/>
      <c r="W168" s="68"/>
    </row>
    <row r="169" spans="1:28" s="1" customFormat="1" ht="42.75" customHeight="1" x14ac:dyDescent="0.2">
      <c r="A169" s="882"/>
      <c r="B169" s="884"/>
      <c r="C169" s="78"/>
      <c r="D169" s="975" t="s">
        <v>74</v>
      </c>
      <c r="E169" s="159"/>
      <c r="F169" s="876"/>
      <c r="G169" s="971"/>
      <c r="H169" s="972"/>
      <c r="I169" s="973"/>
      <c r="J169" s="974"/>
      <c r="K169" s="715"/>
      <c r="L169" s="612"/>
      <c r="M169" s="613"/>
      <c r="N169" s="871"/>
      <c r="O169" s="612"/>
      <c r="P169" s="613"/>
      <c r="Q169" s="686" t="s">
        <v>75</v>
      </c>
      <c r="R169" s="135">
        <v>92</v>
      </c>
      <c r="S169" s="135">
        <v>90</v>
      </c>
      <c r="T169" s="81">
        <v>90</v>
      </c>
      <c r="U169" s="2663"/>
    </row>
    <row r="170" spans="1:28" s="1" customFormat="1" ht="55.5" customHeight="1" x14ac:dyDescent="0.2">
      <c r="A170" s="882"/>
      <c r="B170" s="884"/>
      <c r="C170" s="127"/>
      <c r="D170" s="394" t="s">
        <v>76</v>
      </c>
      <c r="E170" s="345"/>
      <c r="F170" s="876"/>
      <c r="G170" s="709"/>
      <c r="H170" s="625"/>
      <c r="I170" s="597"/>
      <c r="J170" s="611"/>
      <c r="K170" s="625"/>
      <c r="L170" s="597"/>
      <c r="M170" s="611"/>
      <c r="N170" s="496"/>
      <c r="O170" s="597"/>
      <c r="P170" s="611"/>
      <c r="Q170" s="117" t="s">
        <v>224</v>
      </c>
      <c r="R170" s="886">
        <v>12</v>
      </c>
      <c r="S170" s="102">
        <v>12</v>
      </c>
      <c r="T170" s="887">
        <v>12</v>
      </c>
      <c r="U170" s="2664"/>
    </row>
    <row r="171" spans="1:28" s="1" customFormat="1" ht="42.75" customHeight="1" x14ac:dyDescent="0.2">
      <c r="A171" s="882"/>
      <c r="B171" s="884"/>
      <c r="C171" s="78"/>
      <c r="D171" s="2293" t="s">
        <v>77</v>
      </c>
      <c r="E171" s="159"/>
      <c r="F171" s="876"/>
      <c r="G171" s="709"/>
      <c r="H171" s="609"/>
      <c r="I171" s="614"/>
      <c r="J171" s="616"/>
      <c r="K171" s="609"/>
      <c r="L171" s="614"/>
      <c r="M171" s="616"/>
      <c r="N171" s="615"/>
      <c r="O171" s="614"/>
      <c r="P171" s="616"/>
      <c r="Q171" s="2702" t="s">
        <v>78</v>
      </c>
      <c r="R171" s="79">
        <v>100</v>
      </c>
      <c r="S171" s="136">
        <v>100</v>
      </c>
      <c r="T171" s="80">
        <v>100</v>
      </c>
      <c r="U171" s="788"/>
    </row>
    <row r="172" spans="1:28" s="1" customFormat="1" ht="13.5" customHeight="1" thickBot="1" x14ac:dyDescent="0.25">
      <c r="A172" s="580" t="s">
        <v>131</v>
      </c>
      <c r="B172" s="889"/>
      <c r="C172" s="110"/>
      <c r="D172" s="2294"/>
      <c r="E172" s="160"/>
      <c r="F172" s="879"/>
      <c r="G172" s="367" t="s">
        <v>26</v>
      </c>
      <c r="H172" s="30">
        <f>SUM(H163:H171)</f>
        <v>1927.1999999999998</v>
      </c>
      <c r="I172" s="237">
        <f>SUM(I163:I171)</f>
        <v>1927.1999999999998</v>
      </c>
      <c r="J172" s="381">
        <f>SUM(J163:J171)</f>
        <v>0</v>
      </c>
      <c r="K172" s="30">
        <f>SUM(K163:K171)</f>
        <v>1116.5999999999999</v>
      </c>
      <c r="L172" s="237">
        <f>SUM(L163:L171)</f>
        <v>1116.5999999999999</v>
      </c>
      <c r="M172" s="347"/>
      <c r="N172" s="223">
        <f>SUM(N163:N171)</f>
        <v>1076.5999999999999</v>
      </c>
      <c r="O172" s="237">
        <f>SUM(O163:O171)</f>
        <v>1076.5999999999999</v>
      </c>
      <c r="P172" s="223"/>
      <c r="Q172" s="2703"/>
      <c r="R172" s="710"/>
      <c r="S172" s="373"/>
      <c r="T172" s="692"/>
      <c r="U172" s="752"/>
      <c r="AB172" s="68"/>
    </row>
    <row r="173" spans="1:28" s="1" customFormat="1" ht="52.5" customHeight="1" x14ac:dyDescent="0.2">
      <c r="A173" s="726" t="s">
        <v>15</v>
      </c>
      <c r="B173" s="652" t="s">
        <v>41</v>
      </c>
      <c r="C173" s="727" t="s">
        <v>39</v>
      </c>
      <c r="D173" s="725" t="s">
        <v>79</v>
      </c>
      <c r="E173" s="358"/>
      <c r="F173" s="359"/>
      <c r="G173" s="630"/>
      <c r="H173" s="129"/>
      <c r="I173" s="268"/>
      <c r="J173" s="360"/>
      <c r="K173" s="129"/>
      <c r="L173" s="268"/>
      <c r="M173" s="360"/>
      <c r="N173" s="253"/>
      <c r="O173" s="268"/>
      <c r="P173" s="360"/>
      <c r="Q173" s="361"/>
      <c r="R173" s="7"/>
      <c r="S173" s="465"/>
      <c r="T173" s="83"/>
      <c r="U173" s="777"/>
    </row>
    <row r="174" spans="1:28" s="1" customFormat="1" ht="15.75" customHeight="1" x14ac:dyDescent="0.2">
      <c r="A174" s="639"/>
      <c r="B174" s="637"/>
      <c r="C174" s="664"/>
      <c r="D174" s="2704" t="s">
        <v>160</v>
      </c>
      <c r="E174" s="345"/>
      <c r="F174" s="58">
        <v>1</v>
      </c>
      <c r="G174" s="629" t="s">
        <v>20</v>
      </c>
      <c r="H174" s="905">
        <v>0</v>
      </c>
      <c r="I174" s="234">
        <v>0</v>
      </c>
      <c r="J174" s="532"/>
      <c r="K174" s="132"/>
      <c r="L174" s="270"/>
      <c r="M174" s="199"/>
      <c r="N174" s="255"/>
      <c r="O174" s="270"/>
      <c r="P174" s="199"/>
      <c r="Q174" s="646" t="s">
        <v>243</v>
      </c>
      <c r="R174" s="76">
        <v>1</v>
      </c>
      <c r="S174" s="151"/>
      <c r="T174" s="391"/>
      <c r="U174" s="789"/>
    </row>
    <row r="175" spans="1:28" s="1" customFormat="1" ht="15.75" customHeight="1" x14ac:dyDescent="0.2">
      <c r="A175" s="639"/>
      <c r="B175" s="637"/>
      <c r="C175" s="664"/>
      <c r="D175" s="2704"/>
      <c r="E175" s="345"/>
      <c r="F175" s="58"/>
      <c r="G175" s="906" t="s">
        <v>37</v>
      </c>
      <c r="H175" s="907">
        <v>50</v>
      </c>
      <c r="I175" s="230">
        <v>50</v>
      </c>
      <c r="J175" s="535"/>
      <c r="K175" s="144"/>
      <c r="L175" s="260"/>
      <c r="M175" s="331"/>
      <c r="N175" s="245"/>
      <c r="O175" s="260"/>
      <c r="P175" s="331"/>
      <c r="Q175" s="646"/>
      <c r="R175" s="76"/>
      <c r="S175" s="151"/>
      <c r="T175" s="391"/>
      <c r="U175" s="789"/>
    </row>
    <row r="176" spans="1:28" s="1" customFormat="1" ht="15" customHeight="1" thickBot="1" x14ac:dyDescent="0.25">
      <c r="A176" s="642"/>
      <c r="B176" s="643"/>
      <c r="C176" s="665"/>
      <c r="D176" s="2704"/>
      <c r="E176" s="157"/>
      <c r="F176" s="114"/>
      <c r="G176" s="370" t="s">
        <v>26</v>
      </c>
      <c r="H176" s="30">
        <f>SUM(H174:H175)</f>
        <v>50</v>
      </c>
      <c r="I176" s="237">
        <f>SUM(I174:I175)</f>
        <v>50</v>
      </c>
      <c r="J176" s="381">
        <f>SUM(J174:J175)</f>
        <v>0</v>
      </c>
      <c r="K176" s="16">
        <f>SUM(K174:K174)</f>
        <v>0</v>
      </c>
      <c r="L176" s="232">
        <f>SUM(L174:L174)</f>
        <v>0</v>
      </c>
      <c r="M176" s="383"/>
      <c r="N176" s="219">
        <f>SUM(N174:N174)</f>
        <v>0</v>
      </c>
      <c r="O176" s="232">
        <f>SUM(O174:O174)</f>
        <v>0</v>
      </c>
      <c r="P176" s="383"/>
      <c r="Q176" s="170"/>
      <c r="R176" s="77"/>
      <c r="S176" s="368"/>
      <c r="T176" s="393"/>
      <c r="U176" s="787"/>
    </row>
    <row r="177" spans="1:23" s="2" customFormat="1" ht="16.5" customHeight="1" thickBot="1" x14ac:dyDescent="0.3">
      <c r="A177" s="577" t="s">
        <v>15</v>
      </c>
      <c r="B177" s="5" t="s">
        <v>41</v>
      </c>
      <c r="C177" s="2332" t="s">
        <v>43</v>
      </c>
      <c r="D177" s="2332"/>
      <c r="E177" s="2332"/>
      <c r="F177" s="2332"/>
      <c r="G177" s="2332"/>
      <c r="H177" s="85">
        <f t="shared" ref="H177:O177" si="24">+H176+H172+H162</f>
        <v>5484.6</v>
      </c>
      <c r="I177" s="282">
        <f t="shared" si="24"/>
        <v>4150.2</v>
      </c>
      <c r="J177" s="473">
        <f t="shared" si="24"/>
        <v>-1334.4</v>
      </c>
      <c r="K177" s="85">
        <f t="shared" si="24"/>
        <v>2008.6</v>
      </c>
      <c r="L177" s="282">
        <f t="shared" si="24"/>
        <v>3343</v>
      </c>
      <c r="M177" s="282">
        <f t="shared" si="24"/>
        <v>1334.4</v>
      </c>
      <c r="N177" s="85">
        <f t="shared" si="24"/>
        <v>1426.6</v>
      </c>
      <c r="O177" s="282">
        <f t="shared" si="24"/>
        <v>1426.6</v>
      </c>
      <c r="P177" s="814"/>
      <c r="Q177" s="2333"/>
      <c r="R177" s="2334"/>
      <c r="S177" s="2334"/>
      <c r="T177" s="2334"/>
      <c r="U177" s="2335"/>
    </row>
    <row r="178" spans="1:23" s="1" customFormat="1" ht="16.5" customHeight="1" thickBot="1" x14ac:dyDescent="0.25">
      <c r="A178" s="642" t="s">
        <v>15</v>
      </c>
      <c r="B178" s="584"/>
      <c r="C178" s="2336" t="s">
        <v>80</v>
      </c>
      <c r="D178" s="2336"/>
      <c r="E178" s="2336"/>
      <c r="F178" s="2336"/>
      <c r="G178" s="2336"/>
      <c r="H178" s="590">
        <f t="shared" ref="H178:P178" si="25">H177+H151+H131+H52</f>
        <v>49687.400000000009</v>
      </c>
      <c r="I178" s="591">
        <f t="shared" si="25"/>
        <v>49201.200000000004</v>
      </c>
      <c r="J178" s="589">
        <f t="shared" si="25"/>
        <v>-486.19999999999982</v>
      </c>
      <c r="K178" s="590">
        <f t="shared" si="25"/>
        <v>34135</v>
      </c>
      <c r="L178" s="591">
        <f t="shared" si="25"/>
        <v>35477.4</v>
      </c>
      <c r="M178" s="589">
        <f t="shared" si="25"/>
        <v>1342.4</v>
      </c>
      <c r="N178" s="590">
        <f t="shared" si="25"/>
        <v>34293.199999999997</v>
      </c>
      <c r="O178" s="591">
        <f t="shared" si="25"/>
        <v>34211.199999999997</v>
      </c>
      <c r="P178" s="591">
        <f t="shared" si="25"/>
        <v>-82</v>
      </c>
      <c r="Q178" s="2337"/>
      <c r="R178" s="2338"/>
      <c r="S178" s="2338"/>
      <c r="T178" s="2338"/>
      <c r="U178" s="2339"/>
    </row>
    <row r="179" spans="1:23" s="2" customFormat="1" ht="16.5" customHeight="1" thickBot="1" x14ac:dyDescent="0.3">
      <c r="A179" s="586" t="s">
        <v>81</v>
      </c>
      <c r="B179" s="2340" t="s">
        <v>82</v>
      </c>
      <c r="C179" s="2341"/>
      <c r="D179" s="2341"/>
      <c r="E179" s="2341"/>
      <c r="F179" s="2341"/>
      <c r="G179" s="2341"/>
      <c r="H179" s="593">
        <f t="shared" ref="H179:K179" si="26">H178</f>
        <v>49687.400000000009</v>
      </c>
      <c r="I179" s="594">
        <f t="shared" ref="I179:J179" si="27">I178</f>
        <v>49201.200000000004</v>
      </c>
      <c r="J179" s="592">
        <f t="shared" si="27"/>
        <v>-486.19999999999982</v>
      </c>
      <c r="K179" s="593">
        <f t="shared" si="26"/>
        <v>34135</v>
      </c>
      <c r="L179" s="594">
        <f t="shared" ref="L179:M179" si="28">L178</f>
        <v>35477.4</v>
      </c>
      <c r="M179" s="592">
        <f t="shared" si="28"/>
        <v>1342.4</v>
      </c>
      <c r="N179" s="593">
        <f t="shared" ref="N179:P179" si="29">N178</f>
        <v>34293.199999999997</v>
      </c>
      <c r="O179" s="594">
        <f t="shared" si="29"/>
        <v>34211.199999999997</v>
      </c>
      <c r="P179" s="594">
        <f t="shared" si="29"/>
        <v>-82</v>
      </c>
      <c r="Q179" s="2342"/>
      <c r="R179" s="2343"/>
      <c r="S179" s="2343"/>
      <c r="T179" s="2343"/>
      <c r="U179" s="2344"/>
    </row>
    <row r="180" spans="1:23" s="2" customFormat="1" ht="16.5" customHeight="1" x14ac:dyDescent="0.25">
      <c r="A180" s="2701"/>
      <c r="B180" s="2701"/>
      <c r="C180" s="2701"/>
      <c r="D180" s="2701"/>
      <c r="E180" s="2701"/>
      <c r="F180" s="2701"/>
      <c r="G180" s="2701"/>
      <c r="H180" s="2701"/>
      <c r="I180" s="2701"/>
      <c r="J180" s="2701"/>
      <c r="K180" s="2701"/>
      <c r="L180" s="2701"/>
      <c r="M180" s="2701"/>
      <c r="N180" s="2701"/>
      <c r="O180" s="2701"/>
      <c r="P180" s="2701"/>
      <c r="Q180" s="2701"/>
      <c r="R180" s="2701"/>
      <c r="S180" s="2701"/>
      <c r="T180" s="2701"/>
      <c r="U180" s="2701"/>
    </row>
    <row r="181" spans="1:23" s="45" customFormat="1" ht="26.25" customHeight="1" thickBot="1" x14ac:dyDescent="0.25">
      <c r="A181" s="2317" t="s">
        <v>83</v>
      </c>
      <c r="B181" s="2317"/>
      <c r="C181" s="2317"/>
      <c r="D181" s="2317"/>
      <c r="E181" s="2317"/>
      <c r="F181" s="2317"/>
      <c r="G181" s="2317"/>
      <c r="H181" s="2317"/>
      <c r="I181" s="2317"/>
      <c r="J181" s="2317"/>
      <c r="K181" s="2317"/>
      <c r="L181" s="2317"/>
      <c r="M181" s="2317"/>
      <c r="N181" s="2317"/>
      <c r="O181" s="2317"/>
      <c r="P181" s="2317"/>
      <c r="Q181" s="86"/>
      <c r="R181" s="166"/>
      <c r="S181" s="166"/>
      <c r="T181" s="166"/>
      <c r="U181" s="790"/>
      <c r="W181" s="48"/>
    </row>
    <row r="182" spans="1:23" s="2" customFormat="1" ht="74.25" customHeight="1" thickBot="1" x14ac:dyDescent="0.3">
      <c r="A182" s="2318" t="s">
        <v>84</v>
      </c>
      <c r="B182" s="2319"/>
      <c r="C182" s="2319"/>
      <c r="D182" s="2319"/>
      <c r="E182" s="2319"/>
      <c r="F182" s="2319"/>
      <c r="G182" s="2705"/>
      <c r="H182" s="497" t="s">
        <v>182</v>
      </c>
      <c r="I182" s="600" t="s">
        <v>246</v>
      </c>
      <c r="J182" s="599" t="s">
        <v>162</v>
      </c>
      <c r="K182" s="497" t="s">
        <v>251</v>
      </c>
      <c r="L182" s="600" t="s">
        <v>252</v>
      </c>
      <c r="M182" s="599" t="s">
        <v>162</v>
      </c>
      <c r="N182" s="497" t="s">
        <v>255</v>
      </c>
      <c r="O182" s="600" t="s">
        <v>256</v>
      </c>
      <c r="P182" s="831" t="s">
        <v>162</v>
      </c>
      <c r="Q182" s="667"/>
      <c r="R182" s="2321"/>
      <c r="S182" s="2321"/>
      <c r="T182" s="2321"/>
      <c r="U182" s="2321"/>
    </row>
    <row r="183" spans="1:23" s="2" customFormat="1" ht="15.75" customHeight="1" thickBot="1" x14ac:dyDescent="0.3">
      <c r="A183" s="2305" t="s">
        <v>85</v>
      </c>
      <c r="B183" s="2306"/>
      <c r="C183" s="2306"/>
      <c r="D183" s="2306"/>
      <c r="E183" s="2306"/>
      <c r="F183" s="2306"/>
      <c r="G183" s="2699"/>
      <c r="H183" s="996">
        <f t="shared" ref="H183:P183" si="30">SUM(H184:H191)</f>
        <v>22013.799999999996</v>
      </c>
      <c r="I183" s="995">
        <f>SUM(I184:I191)</f>
        <v>21527.599999999999</v>
      </c>
      <c r="J183" s="995">
        <f>SUM(J184:J191)</f>
        <v>-486.19999999999891</v>
      </c>
      <c r="K183" s="588">
        <f t="shared" si="30"/>
        <v>18378.600000000002</v>
      </c>
      <c r="L183" s="595">
        <f t="shared" si="30"/>
        <v>19721</v>
      </c>
      <c r="M183" s="595">
        <f t="shared" si="30"/>
        <v>1342.4</v>
      </c>
      <c r="N183" s="588">
        <f t="shared" si="30"/>
        <v>18555.400000000001</v>
      </c>
      <c r="O183" s="595">
        <f t="shared" si="30"/>
        <v>18473.400000000001</v>
      </c>
      <c r="P183" s="829">
        <f t="shared" si="30"/>
        <v>-82</v>
      </c>
      <c r="Q183" s="669"/>
      <c r="R183" s="2279"/>
      <c r="S183" s="2279"/>
      <c r="T183" s="2279"/>
      <c r="U183" s="2279"/>
    </row>
    <row r="184" spans="1:23" s="2" customFormat="1" ht="15.75" customHeight="1" x14ac:dyDescent="0.25">
      <c r="A184" s="2298" t="s">
        <v>86</v>
      </c>
      <c r="B184" s="2299"/>
      <c r="C184" s="2299"/>
      <c r="D184" s="2299"/>
      <c r="E184" s="2299"/>
      <c r="F184" s="2299"/>
      <c r="G184" s="2695"/>
      <c r="H184" s="306">
        <f>SUMIF(G13:G174,"sb",H13:H174)</f>
        <v>10479.9</v>
      </c>
      <c r="I184" s="1037">
        <f>SUMIF(G13:G174,"sb",I13:I174)</f>
        <v>10430.1</v>
      </c>
      <c r="J184" s="1038">
        <f>+I184-H184</f>
        <v>-49.799999999999272</v>
      </c>
      <c r="K184" s="993">
        <f>SUMIF(G13:G172,"sb",K13:K172)</f>
        <v>10429.1</v>
      </c>
      <c r="L184" s="863">
        <f>SUMIF(G13:G172,"sb",L13:L172)</f>
        <v>10429.1</v>
      </c>
      <c r="M184" s="864"/>
      <c r="N184" s="306">
        <f>SUMIF(G13:G172,"sb",N13:N172)</f>
        <v>12078.300000000001</v>
      </c>
      <c r="O184" s="863">
        <f>SUMIF(G13:G172,"sb",O13:O172)</f>
        <v>12078.300000000001</v>
      </c>
      <c r="P184" s="864"/>
      <c r="Q184" s="670"/>
      <c r="R184" s="2325"/>
      <c r="S184" s="2325"/>
      <c r="T184" s="2325"/>
      <c r="U184" s="2325"/>
    </row>
    <row r="185" spans="1:23" s="2" customFormat="1" ht="13.5" customHeight="1" x14ac:dyDescent="0.25">
      <c r="A185" s="2295" t="s">
        <v>165</v>
      </c>
      <c r="B185" s="2296"/>
      <c r="C185" s="2296"/>
      <c r="D185" s="2296"/>
      <c r="E185" s="2296"/>
      <c r="F185" s="2296"/>
      <c r="G185" s="2694"/>
      <c r="H185" s="492">
        <f>SUMIF(G13:G174,"sb(l)",H13:H174)</f>
        <v>649.79999999999995</v>
      </c>
      <c r="I185" s="1039">
        <f>SUMIF(G13:G174,"sb(l)",I13:I174)</f>
        <v>616.5</v>
      </c>
      <c r="J185" s="1040">
        <f t="shared" ref="J185:J189" si="31">+I185-H185</f>
        <v>-33.299999999999955</v>
      </c>
      <c r="K185" s="283"/>
      <c r="L185" s="285"/>
      <c r="M185" s="833"/>
      <c r="N185" s="307"/>
      <c r="O185" s="285"/>
      <c r="P185" s="833"/>
      <c r="Q185" s="670"/>
      <c r="R185" s="670"/>
      <c r="S185" s="670"/>
      <c r="T185" s="670"/>
      <c r="U185" s="791"/>
    </row>
    <row r="186" spans="1:23" s="2" customFormat="1" ht="27" customHeight="1" x14ac:dyDescent="0.25">
      <c r="A186" s="2295" t="s">
        <v>179</v>
      </c>
      <c r="B186" s="2296"/>
      <c r="C186" s="2296"/>
      <c r="D186" s="2296"/>
      <c r="E186" s="2296"/>
      <c r="F186" s="2296"/>
      <c r="G186" s="2694"/>
      <c r="H186" s="307">
        <f>SUMIF(G13:G174,"sb(esl)",H13:H174)</f>
        <v>200.89999999999998</v>
      </c>
      <c r="I186" s="1041">
        <f>SUMIF(G13:G174,"sb(esl)",I13:I174)</f>
        <v>200.89999999999998</v>
      </c>
      <c r="J186" s="1040">
        <f t="shared" si="31"/>
        <v>0</v>
      </c>
      <c r="K186" s="283">
        <f>SUMIF(G18:G174,"sb(esa)",K18:K174)</f>
        <v>0</v>
      </c>
      <c r="L186" s="285">
        <f>SUMIF(G18:G174,"sb(esa)",L18:L174)</f>
        <v>0</v>
      </c>
      <c r="M186" s="833"/>
      <c r="N186" s="307">
        <f>SUMIF(F18:F174,"sb(esa)",N18:N174)</f>
        <v>0</v>
      </c>
      <c r="O186" s="285">
        <f>SUMIF(G18:G174,"sb(esa)",O18:O174)</f>
        <v>0</v>
      </c>
      <c r="P186" s="833"/>
      <c r="Q186" s="670"/>
      <c r="R186" s="670"/>
      <c r="S186" s="670"/>
      <c r="T186" s="670"/>
      <c r="U186" s="791"/>
    </row>
    <row r="187" spans="1:23" s="2" customFormat="1" ht="30.75" customHeight="1" x14ac:dyDescent="0.25">
      <c r="A187" s="2311" t="s">
        <v>244</v>
      </c>
      <c r="B187" s="2312"/>
      <c r="C187" s="2312"/>
      <c r="D187" s="2312"/>
      <c r="E187" s="2312"/>
      <c r="F187" s="2312"/>
      <c r="G187" s="2622"/>
      <c r="H187" s="307">
        <f>SUMIF(G13:G174,"SB(es)",H13:H174)</f>
        <v>3349.4</v>
      </c>
      <c r="I187" s="1041">
        <f>SUMIF(G13:G174,"SB(es)",I13:I174)</f>
        <v>1925</v>
      </c>
      <c r="J187" s="1040">
        <f t="shared" si="31"/>
        <v>-1424.4</v>
      </c>
      <c r="K187" s="283">
        <f>SUMIF(G18:G177,"sb(es)",K18:K177)</f>
        <v>1321.8000000000002</v>
      </c>
      <c r="L187" s="1041">
        <f>SUMIF(G18:G177,"sb(es)",L18:L177)</f>
        <v>2746.2000000000003</v>
      </c>
      <c r="M187" s="1044">
        <f>+L187-K187</f>
        <v>1424.4</v>
      </c>
      <c r="N187" s="307">
        <f>SUMIF(G18:G177,"sb(es)",N18:N177)</f>
        <v>168.5</v>
      </c>
      <c r="O187" s="285">
        <f>SUMIF(G18:G177,"sb(es)",O18:O177)</f>
        <v>168.5</v>
      </c>
      <c r="P187" s="833"/>
      <c r="Q187" s="668"/>
      <c r="R187" s="668"/>
      <c r="S187" s="668"/>
      <c r="T187" s="668"/>
      <c r="U187" s="792"/>
    </row>
    <row r="188" spans="1:23" s="2" customFormat="1" ht="31.5" customHeight="1" x14ac:dyDescent="0.25">
      <c r="A188" s="2311" t="s">
        <v>227</v>
      </c>
      <c r="B188" s="2312"/>
      <c r="C188" s="2312"/>
      <c r="D188" s="2312"/>
      <c r="E188" s="2312"/>
      <c r="F188" s="2312"/>
      <c r="G188" s="2622"/>
      <c r="H188" s="307">
        <f>SUMIF(G16:G176,"SB(esa)",H16:H176)</f>
        <v>69.5</v>
      </c>
      <c r="I188" s="285">
        <f>SUMIF(G13:G176,"SB(esa)",I13:I176)</f>
        <v>69.5</v>
      </c>
      <c r="J188" s="351">
        <f t="shared" si="31"/>
        <v>0</v>
      </c>
      <c r="K188" s="283">
        <f>SUMIF(G16:G176,"SB(esa)",K16:K176)</f>
        <v>0</v>
      </c>
      <c r="L188" s="285">
        <f>SUMIF(G16:G176,"SB(esa)",L16:L176)</f>
        <v>0</v>
      </c>
      <c r="M188" s="283"/>
      <c r="N188" s="307">
        <f>SUMIF(G16:G176,"SB(esa)",N16:N176)</f>
        <v>0</v>
      </c>
      <c r="O188" s="285">
        <f>SUMIF(G16:G176,"SB(esa)",O16:O176)</f>
        <v>0</v>
      </c>
      <c r="P188" s="833"/>
      <c r="Q188" s="668"/>
      <c r="R188" s="668"/>
      <c r="S188" s="668"/>
      <c r="T188" s="668"/>
      <c r="U188" s="792"/>
    </row>
    <row r="189" spans="1:23" s="2" customFormat="1" ht="18" customHeight="1" x14ac:dyDescent="0.25">
      <c r="A189" s="2295" t="s">
        <v>87</v>
      </c>
      <c r="B189" s="2296"/>
      <c r="C189" s="2296"/>
      <c r="D189" s="2296"/>
      <c r="E189" s="2296"/>
      <c r="F189" s="2296"/>
      <c r="G189" s="2694"/>
      <c r="H189" s="307">
        <f>SUMIF(G13:G174,"sb(sp)",H13:H174)</f>
        <v>1798.4</v>
      </c>
      <c r="I189" s="1041">
        <f>SUMIF(G13:G174,"sb(sp)",I13:I174)</f>
        <v>1818.3</v>
      </c>
      <c r="J189" s="1040">
        <f t="shared" si="31"/>
        <v>19.899999999999864</v>
      </c>
      <c r="K189" s="994">
        <f>SUMIF(G13:G172,"sb(sp)",K13:K172)</f>
        <v>1758.4</v>
      </c>
      <c r="L189" s="837">
        <f>SUMIF(G13:G172,"sb(sp)",L13:L172)</f>
        <v>1758.4</v>
      </c>
      <c r="M189" s="834"/>
      <c r="N189" s="307">
        <f>SUMIF(G13:G172,"sb(sp)",N13:N172)</f>
        <v>1718.4</v>
      </c>
      <c r="O189" s="285">
        <f>SUMIF(G13:G172,"sb(sp)",O13:O172)</f>
        <v>1718.4</v>
      </c>
      <c r="P189" s="833"/>
      <c r="Q189" s="670"/>
      <c r="R189" s="2301"/>
      <c r="S189" s="2301"/>
      <c r="T189" s="2301"/>
      <c r="U189" s="2301"/>
    </row>
    <row r="190" spans="1:23" s="2" customFormat="1" ht="18" customHeight="1" x14ac:dyDescent="0.25">
      <c r="A190" s="2295" t="s">
        <v>247</v>
      </c>
      <c r="B190" s="2296"/>
      <c r="C190" s="2296"/>
      <c r="D190" s="2296"/>
      <c r="E190" s="2296"/>
      <c r="F190" s="2296"/>
      <c r="G190" s="2694"/>
      <c r="H190" s="307">
        <f>SUMIF(G14:G175,"sb(spl)",H14:H175)</f>
        <v>841.1</v>
      </c>
      <c r="I190" s="285">
        <f>SUMIF(G16:G176,"sb(spl)",I16:I176)</f>
        <v>841.1</v>
      </c>
      <c r="J190" s="997">
        <f>+I190-H190</f>
        <v>0</v>
      </c>
      <c r="K190" s="994"/>
      <c r="L190" s="837"/>
      <c r="M190" s="834"/>
      <c r="N190" s="307"/>
      <c r="O190" s="285"/>
      <c r="P190" s="833"/>
      <c r="Q190" s="670"/>
      <c r="R190" s="668"/>
      <c r="S190" s="668"/>
      <c r="T190" s="668"/>
      <c r="U190" s="792"/>
    </row>
    <row r="191" spans="1:23" s="2" customFormat="1" ht="28.5" customHeight="1" thickBot="1" x14ac:dyDescent="0.3">
      <c r="A191" s="2295" t="s">
        <v>88</v>
      </c>
      <c r="B191" s="2296"/>
      <c r="C191" s="2296"/>
      <c r="D191" s="2296"/>
      <c r="E191" s="2296"/>
      <c r="F191" s="2296"/>
      <c r="G191" s="2694"/>
      <c r="H191" s="998">
        <f>SUMIF(G13:G174,"sb(vb)",H13:H174)</f>
        <v>4624.7999999999993</v>
      </c>
      <c r="I191" s="1042">
        <f>SUMIF(G13:G175,"sb(vb)",I13:I175)</f>
        <v>5626.2</v>
      </c>
      <c r="J191" s="1043">
        <f>+I191-H191</f>
        <v>1001.4000000000005</v>
      </c>
      <c r="K191" s="283">
        <f>SUMIF(G13:G172,"sb(vb)",K13:K172)</f>
        <v>4869.3</v>
      </c>
      <c r="L191" s="1041">
        <f>SUMIF(G13:G172,"sb(vb)",L13:L172)</f>
        <v>4787.3</v>
      </c>
      <c r="M191" s="1044">
        <f>+L191-K191</f>
        <v>-82</v>
      </c>
      <c r="N191" s="307">
        <f>SUMIF(G13:G172,"sb(vb)",N13:N172)</f>
        <v>4590.2</v>
      </c>
      <c r="O191" s="1041">
        <f>SUMIF(G13:G172,"sb(vb)",O13:O172)</f>
        <v>4508.2</v>
      </c>
      <c r="P191" s="1044">
        <f>+O191-N191</f>
        <v>-82</v>
      </c>
      <c r="Q191" s="668"/>
      <c r="R191" s="2301"/>
      <c r="S191" s="2301"/>
      <c r="T191" s="2301"/>
      <c r="U191" s="2301"/>
    </row>
    <row r="192" spans="1:23" s="2" customFormat="1" ht="15.75" customHeight="1" thickBot="1" x14ac:dyDescent="0.3">
      <c r="A192" s="2305" t="s">
        <v>89</v>
      </c>
      <c r="B192" s="2306"/>
      <c r="C192" s="2306"/>
      <c r="D192" s="2306"/>
      <c r="E192" s="2306"/>
      <c r="F192" s="2306"/>
      <c r="G192" s="2699"/>
      <c r="H192" s="588">
        <f>SUM(H193:H195)</f>
        <v>27673.599999999999</v>
      </c>
      <c r="I192" s="595">
        <f>SUM(I193:I195)</f>
        <v>27673.599999999999</v>
      </c>
      <c r="J192" s="595">
        <f>SUM(J193:J195)</f>
        <v>0</v>
      </c>
      <c r="K192" s="588">
        <f t="shared" ref="K192" si="32">SUM(K193:K195)</f>
        <v>15756.4</v>
      </c>
      <c r="L192" s="595">
        <f t="shared" ref="L192" si="33">SUM(L193:L195)</f>
        <v>15756.4</v>
      </c>
      <c r="M192" s="832"/>
      <c r="N192" s="588">
        <f t="shared" ref="N192:O192" si="34">SUM(N193:N195)</f>
        <v>15737.8</v>
      </c>
      <c r="O192" s="595">
        <f t="shared" si="34"/>
        <v>15737.8</v>
      </c>
      <c r="P192" s="832"/>
      <c r="Q192" s="668"/>
      <c r="R192" s="668"/>
      <c r="S192" s="668"/>
      <c r="T192" s="668"/>
      <c r="U192" s="792"/>
    </row>
    <row r="193" spans="1:21" s="2" customFormat="1" ht="15.75" customHeight="1" x14ac:dyDescent="0.25">
      <c r="A193" s="2295" t="s">
        <v>145</v>
      </c>
      <c r="B193" s="2296"/>
      <c r="C193" s="2296"/>
      <c r="D193" s="2296"/>
      <c r="E193" s="2296"/>
      <c r="F193" s="2296"/>
      <c r="G193" s="2694"/>
      <c r="H193" s="308">
        <f>SUMIF(G13:G174,"es",H13:H174)</f>
        <v>80.599999999999994</v>
      </c>
      <c r="I193" s="914">
        <f>SUMIF(G13:G174,"es",I13:I174)</f>
        <v>80.599999999999994</v>
      </c>
      <c r="J193" s="914">
        <f>+I193-H193</f>
        <v>0</v>
      </c>
      <c r="K193" s="828">
        <f>SUMIF(G13:G172,"es",K13:K172)</f>
        <v>61.7</v>
      </c>
      <c r="L193" s="838">
        <f>SUMIF(G13:G172,"es",L13:L172)</f>
        <v>61.7</v>
      </c>
      <c r="M193" s="835"/>
      <c r="N193" s="828">
        <f>SUMIF(G13:G172,"es",N13:N172)</f>
        <v>43.1</v>
      </c>
      <c r="O193" s="838">
        <f>SUMIF(G13:G172,"es",O13:O172)</f>
        <v>43.1</v>
      </c>
      <c r="P193" s="835"/>
      <c r="Q193" s="143"/>
      <c r="R193" s="2279"/>
      <c r="S193" s="2279"/>
      <c r="T193" s="2279"/>
      <c r="U193" s="2279"/>
    </row>
    <row r="194" spans="1:21" s="2" customFormat="1" ht="15.75" customHeight="1" x14ac:dyDescent="0.25">
      <c r="A194" s="2298" t="s">
        <v>90</v>
      </c>
      <c r="B194" s="2299"/>
      <c r="C194" s="2299"/>
      <c r="D194" s="2299"/>
      <c r="E194" s="2299"/>
      <c r="F194" s="2299"/>
      <c r="G194" s="2695"/>
      <c r="H194" s="307">
        <f>SUMIF(G13:G175,"LRVB",H13:H175)</f>
        <v>27590</v>
      </c>
      <c r="I194" s="285">
        <f>SUMIF(G13:G175,"LRVB",I13:I175)</f>
        <v>27590</v>
      </c>
      <c r="J194" s="285">
        <f>+I194-H194</f>
        <v>0</v>
      </c>
      <c r="K194" s="827">
        <f>SUMIF(G13:G172,"lrvb",K13:K172)</f>
        <v>15691.699999999999</v>
      </c>
      <c r="L194" s="837">
        <f>SUMIF(G13:G172,"lrvb",L13:L172)</f>
        <v>15691.699999999999</v>
      </c>
      <c r="M194" s="834"/>
      <c r="N194" s="827">
        <f>SUMIF(G13:G172,"lrvb",N13:N172)</f>
        <v>15691.699999999999</v>
      </c>
      <c r="O194" s="837">
        <f>SUMIF(G13:G172,"lrvb",O13:O172)</f>
        <v>15691.699999999999</v>
      </c>
      <c r="P194" s="834"/>
      <c r="Q194" s="87"/>
      <c r="R194" s="2301"/>
      <c r="S194" s="2301"/>
      <c r="T194" s="2301"/>
      <c r="U194" s="2301"/>
    </row>
    <row r="195" spans="1:21" s="2" customFormat="1" ht="15.75" customHeight="1" thickBot="1" x14ac:dyDescent="0.3">
      <c r="A195" s="2302" t="s">
        <v>91</v>
      </c>
      <c r="B195" s="2303"/>
      <c r="C195" s="2303"/>
      <c r="D195" s="2303"/>
      <c r="E195" s="2303"/>
      <c r="F195" s="2303"/>
      <c r="G195" s="2696"/>
      <c r="H195" s="309">
        <f>SUMIF(G13:G174,"kt",H13:H174)</f>
        <v>3</v>
      </c>
      <c r="I195" s="311">
        <f>SUMIF(G13:G174,"kt",I13:I174)</f>
        <v>3</v>
      </c>
      <c r="J195" s="284"/>
      <c r="K195" s="309">
        <f>SUMIF(G13:G172,"kt",K13:K172)</f>
        <v>3</v>
      </c>
      <c r="L195" s="311">
        <f>SUMIF(G13:G172,"kt",L13:L172)</f>
        <v>3</v>
      </c>
      <c r="M195" s="836"/>
      <c r="N195" s="309">
        <f>SUMIF(G13:G172,"kt",N13:N172)</f>
        <v>3</v>
      </c>
      <c r="O195" s="311">
        <f>SUMIF(G13:G172,"kt",O13:O172)</f>
        <v>3</v>
      </c>
      <c r="P195" s="836"/>
      <c r="Q195" s="87"/>
      <c r="R195" s="2301"/>
      <c r="S195" s="2301"/>
      <c r="T195" s="2301"/>
      <c r="U195" s="2301"/>
    </row>
    <row r="196" spans="1:21" s="1" customFormat="1" ht="16.5" customHeight="1" thickBot="1" x14ac:dyDescent="0.25">
      <c r="A196" s="2276" t="s">
        <v>92</v>
      </c>
      <c r="B196" s="2277"/>
      <c r="C196" s="2277"/>
      <c r="D196" s="2277"/>
      <c r="E196" s="2277"/>
      <c r="F196" s="2277"/>
      <c r="G196" s="2700"/>
      <c r="H196" s="310">
        <f t="shared" ref="H196:P196" si="35">H183+H192</f>
        <v>49687.399999999994</v>
      </c>
      <c r="I196" s="286">
        <f t="shared" si="35"/>
        <v>49201.2</v>
      </c>
      <c r="J196" s="286">
        <f>J183+J192</f>
        <v>-486.19999999999891</v>
      </c>
      <c r="K196" s="310">
        <f t="shared" si="35"/>
        <v>34135</v>
      </c>
      <c r="L196" s="286">
        <f t="shared" si="35"/>
        <v>35477.4</v>
      </c>
      <c r="M196" s="286">
        <f t="shared" si="35"/>
        <v>1342.4</v>
      </c>
      <c r="N196" s="310">
        <f t="shared" si="35"/>
        <v>34293.199999999997</v>
      </c>
      <c r="O196" s="286">
        <f t="shared" si="35"/>
        <v>34211.199999999997</v>
      </c>
      <c r="P196" s="830">
        <f t="shared" si="35"/>
        <v>-82</v>
      </c>
      <c r="Q196" s="142"/>
      <c r="R196" s="2279"/>
      <c r="S196" s="2279"/>
      <c r="T196" s="2279"/>
      <c r="U196" s="2279"/>
    </row>
    <row r="197" spans="1:21" x14ac:dyDescent="0.25">
      <c r="A197" s="91"/>
      <c r="B197" s="88"/>
      <c r="C197" s="89"/>
      <c r="D197" s="90"/>
      <c r="E197" s="88"/>
      <c r="F197" s="149"/>
      <c r="G197" s="91"/>
      <c r="H197" s="120"/>
      <c r="I197" s="120"/>
      <c r="J197" s="120"/>
      <c r="K197" s="120"/>
      <c r="L197" s="120"/>
      <c r="M197" s="120"/>
      <c r="N197" s="120"/>
      <c r="O197" s="120"/>
      <c r="P197" s="120"/>
      <c r="Q197" s="92"/>
      <c r="R197" s="91"/>
      <c r="S197" s="91"/>
      <c r="T197" s="91"/>
      <c r="U197" s="793"/>
    </row>
    <row r="198" spans="1:21" x14ac:dyDescent="0.25">
      <c r="F198" s="2280" t="s">
        <v>245</v>
      </c>
      <c r="G198" s="2281"/>
      <c r="H198" s="2281"/>
      <c r="I198" s="2281"/>
      <c r="J198" s="2281"/>
      <c r="K198" s="2281"/>
      <c r="L198" s="2281"/>
      <c r="M198" s="2281"/>
      <c r="N198" s="2281"/>
      <c r="O198" s="2281"/>
      <c r="P198" s="2281"/>
    </row>
  </sheetData>
  <mergeCells count="234">
    <mergeCell ref="B11:U11"/>
    <mergeCell ref="C12:U12"/>
    <mergeCell ref="Q20:Q21"/>
    <mergeCell ref="F6:F8"/>
    <mergeCell ref="G6:G8"/>
    <mergeCell ref="H6:H8"/>
    <mergeCell ref="K6:K8"/>
    <mergeCell ref="Q7:Q8"/>
    <mergeCell ref="D13:D14"/>
    <mergeCell ref="U13:U17"/>
    <mergeCell ref="D18:D19"/>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A49:A51"/>
    <mergeCell ref="B49:B51"/>
    <mergeCell ref="C49:C51"/>
    <mergeCell ref="D49:D51"/>
    <mergeCell ref="Q50:Q51"/>
    <mergeCell ref="D45:D46"/>
    <mergeCell ref="Q45:Q46"/>
    <mergeCell ref="R45:R46"/>
    <mergeCell ref="S45:S46"/>
    <mergeCell ref="B47:B48"/>
    <mergeCell ref="D47:D48"/>
    <mergeCell ref="Q47:Q48"/>
    <mergeCell ref="C47:C48"/>
    <mergeCell ref="A31:A32"/>
    <mergeCell ref="B31:B32"/>
    <mergeCell ref="D31:D34"/>
    <mergeCell ref="E31:E34"/>
    <mergeCell ref="D22:D23"/>
    <mergeCell ref="A29:A30"/>
    <mergeCell ref="B29:B30"/>
    <mergeCell ref="D41:D42"/>
    <mergeCell ref="E42:G42"/>
    <mergeCell ref="F43:F44"/>
    <mergeCell ref="D38:D39"/>
    <mergeCell ref="E38:E39"/>
    <mergeCell ref="F38:F39"/>
    <mergeCell ref="E22:E23"/>
    <mergeCell ref="Q22:Q23"/>
    <mergeCell ref="D24:D25"/>
    <mergeCell ref="Q24:Q25"/>
    <mergeCell ref="Q36:Q37"/>
    <mergeCell ref="D26:D28"/>
    <mergeCell ref="Q38:Q39"/>
    <mergeCell ref="R24:R25"/>
    <mergeCell ref="U24:U25"/>
    <mergeCell ref="D35:D37"/>
    <mergeCell ref="E35:E37"/>
    <mergeCell ref="F35:F37"/>
    <mergeCell ref="U26:U28"/>
    <mergeCell ref="E29:E30"/>
    <mergeCell ref="E26:E28"/>
    <mergeCell ref="Q26:Q28"/>
    <mergeCell ref="D29:D30"/>
    <mergeCell ref="Q31:Q33"/>
    <mergeCell ref="U31:U34"/>
    <mergeCell ref="S24:S25"/>
    <mergeCell ref="D93:G93"/>
    <mergeCell ref="A94:A95"/>
    <mergeCell ref="B94:B95"/>
    <mergeCell ref="C94:C95"/>
    <mergeCell ref="D94:D95"/>
    <mergeCell ref="E94:E95"/>
    <mergeCell ref="F94:F95"/>
    <mergeCell ref="D86:D87"/>
    <mergeCell ref="Q89:Q90"/>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D146:D147"/>
    <mergeCell ref="G146:G147"/>
    <mergeCell ref="H146:H147"/>
    <mergeCell ref="K146:K147"/>
    <mergeCell ref="D148:D149"/>
    <mergeCell ref="U148:U149"/>
    <mergeCell ref="N146:N147"/>
    <mergeCell ref="L146:L147"/>
    <mergeCell ref="O146:O147"/>
    <mergeCell ref="D156:D159"/>
    <mergeCell ref="E156:E158"/>
    <mergeCell ref="D160:D161"/>
    <mergeCell ref="D162:G162"/>
    <mergeCell ref="D163:D165"/>
    <mergeCell ref="E163:E166"/>
    <mergeCell ref="D150:G150"/>
    <mergeCell ref="Q150:U150"/>
    <mergeCell ref="C151:G151"/>
    <mergeCell ref="Q151:U151"/>
    <mergeCell ref="C152:U152"/>
    <mergeCell ref="D154:D155"/>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A192:G192"/>
    <mergeCell ref="A184:G184"/>
    <mergeCell ref="R184:U184"/>
    <mergeCell ref="A185:G185"/>
    <mergeCell ref="A186:G186"/>
    <mergeCell ref="A187:G187"/>
    <mergeCell ref="A188:G188"/>
    <mergeCell ref="A196:G196"/>
    <mergeCell ref="R196:U196"/>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9</vt:i4>
      </vt:variant>
    </vt:vector>
  </HeadingPairs>
  <TitlesOfParts>
    <vt:vector size="14" baseType="lpstr">
      <vt:lpstr>12 programa</vt:lpstr>
      <vt:lpstr>Lyginamasis</vt:lpstr>
      <vt:lpstr>Donatui</vt:lpstr>
      <vt:lpstr>Aiškinamoji lentelė</vt:lpstr>
      <vt:lpstr>Lyginamasis 2018-10-25</vt:lpstr>
      <vt:lpstr>'12 programa'!Print_Area</vt:lpstr>
      <vt:lpstr>'Aiškinamoji lentelė'!Print_Area</vt:lpstr>
      <vt:lpstr>Lyginamasis!Print_Area</vt:lpstr>
      <vt:lpstr>'Lyginamasis 2018-10-25'!Print_Area</vt:lpstr>
      <vt:lpstr>'12 programa'!Print_Titles</vt:lpstr>
      <vt:lpstr>'Aiškinamoji lentelė'!Print_Titles</vt:lpstr>
      <vt:lpstr>Donatui!Print_Titles</vt:lpstr>
      <vt:lpstr>Lyginamasis!Print_Titles</vt:lpstr>
      <vt:lpstr>'Lyginamasis 2018-10-25'!Print_Titles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2019-10-05T10:39:29Z</cp:lastPrinted>
  <dcterms:created xsi:type="dcterms:W3CDTF">2015-11-25T08:56:30Z</dcterms:created>
  <dcterms:modified xsi:type="dcterms:W3CDTF">2019-10-08T10:25:28Z</dcterms:modified>
</cp:coreProperties>
</file>