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480" yWindow="870" windowWidth="27795" windowHeight="11550"/>
  </bookViews>
  <sheets>
    <sheet name="5 programa" sheetId="6" r:id="rId1"/>
    <sheet name="Lyginamasis variantas" sheetId="7" r:id="rId2"/>
    <sheet name="Aiškinamoji lentelė " sheetId="2" state="hidden" r:id="rId3"/>
  </sheets>
  <definedNames>
    <definedName name="_xlnm.Print_Area" localSheetId="0">'5 programa'!$A$1:$N$171</definedName>
    <definedName name="_xlnm.Print_Area" localSheetId="2">'Aiškinamoji lentelė '!$A$1:$R$157</definedName>
    <definedName name="_xlnm.Print_Area" localSheetId="1">'Lyginamasis variantas'!$A$1:$U$170</definedName>
    <definedName name="_xlnm.Print_Titles" localSheetId="0">'5 programa'!$9:$11</definedName>
    <definedName name="_xlnm.Print_Titles" localSheetId="2">'Aiškinamoji lentelė '!$6:$8</definedName>
    <definedName name="_xlnm.Print_Titles" localSheetId="1">'Lyginamasis variantas'!$8:$10</definedName>
  </definedNames>
  <calcPr calcId="162913"/>
  <fileRecoveryPr repairLoad="1"/>
</workbook>
</file>

<file path=xl/calcChain.xml><?xml version="1.0" encoding="utf-8"?>
<calcChain xmlns="http://schemas.openxmlformats.org/spreadsheetml/2006/main">
  <c r="K129" i="2" l="1"/>
  <c r="J129" i="2"/>
  <c r="I140" i="6"/>
  <c r="H140" i="6"/>
  <c r="M139" i="7"/>
  <c r="L139" i="7"/>
  <c r="J139" i="7"/>
  <c r="I139" i="7"/>
  <c r="M98" i="7"/>
  <c r="L98" i="7"/>
  <c r="I98" i="7"/>
  <c r="J98" i="7"/>
  <c r="H98" i="7"/>
  <c r="I75" i="6"/>
  <c r="I77" i="6"/>
  <c r="M93" i="7"/>
  <c r="M92" i="7"/>
  <c r="K85" i="2"/>
  <c r="K84" i="2"/>
  <c r="J85" i="2" l="1"/>
  <c r="J84" i="2"/>
  <c r="H75" i="6"/>
  <c r="H77" i="6"/>
  <c r="J93" i="7"/>
  <c r="J92" i="7"/>
  <c r="H119" i="6" l="1"/>
  <c r="J114" i="2"/>
  <c r="H72" i="6" l="1"/>
  <c r="J66" i="2" l="1"/>
  <c r="I130" i="7" l="1"/>
  <c r="J125" i="7"/>
  <c r="J79" i="7"/>
  <c r="J31" i="7"/>
  <c r="L155" i="2" l="1"/>
  <c r="L154" i="2"/>
  <c r="L153" i="2"/>
  <c r="L151" i="2"/>
  <c r="L150" i="2"/>
  <c r="L149" i="2"/>
  <c r="L148" i="2"/>
  <c r="L147" i="2"/>
  <c r="L146" i="2"/>
  <c r="L145" i="2"/>
  <c r="L144" i="2"/>
  <c r="L143" i="2"/>
  <c r="L142" i="2"/>
  <c r="K147" i="2"/>
  <c r="K145" i="2"/>
  <c r="K144" i="2"/>
  <c r="K143" i="2"/>
  <c r="H73" i="7"/>
  <c r="I73" i="7"/>
  <c r="L152" i="2" l="1"/>
  <c r="L141" i="2"/>
  <c r="L140" i="2" s="1"/>
  <c r="L132" i="2"/>
  <c r="L133" i="2" s="1"/>
  <c r="L126" i="2"/>
  <c r="L120" i="2"/>
  <c r="L109" i="2"/>
  <c r="L90" i="2"/>
  <c r="L58" i="2"/>
  <c r="L61" i="2" s="1"/>
  <c r="L49" i="2"/>
  <c r="L48" i="2"/>
  <c r="L36" i="2"/>
  <c r="L33" i="2"/>
  <c r="L30" i="2"/>
  <c r="L27" i="2"/>
  <c r="L37" i="2" s="1"/>
  <c r="L24" i="2"/>
  <c r="L18" i="2"/>
  <c r="L156" i="2" l="1"/>
  <c r="L121" i="2"/>
  <c r="L134" i="2" s="1"/>
  <c r="L135" i="2" s="1"/>
  <c r="J89" i="2"/>
  <c r="H74" i="6"/>
  <c r="O98" i="7" l="1"/>
  <c r="N98" i="7"/>
  <c r="K155" i="7"/>
  <c r="H76" i="7" l="1"/>
  <c r="H139" i="7"/>
  <c r="H142" i="7" s="1"/>
  <c r="I58" i="6" l="1"/>
  <c r="L66" i="7"/>
  <c r="K61" i="2"/>
  <c r="J61" i="2"/>
  <c r="H143" i="6" l="1"/>
  <c r="I142" i="7"/>
  <c r="I76" i="7"/>
  <c r="J96" i="2"/>
  <c r="J73" i="2"/>
  <c r="J142" i="7" l="1"/>
  <c r="O165" i="7" l="1"/>
  <c r="N165" i="7"/>
  <c r="O164" i="7"/>
  <c r="N164" i="7"/>
  <c r="O163" i="7"/>
  <c r="N163" i="7"/>
  <c r="O161" i="7"/>
  <c r="N161" i="7"/>
  <c r="O160" i="7"/>
  <c r="N160" i="7"/>
  <c r="O159" i="7"/>
  <c r="N159" i="7"/>
  <c r="O158" i="7"/>
  <c r="N158" i="7"/>
  <c r="O157" i="7"/>
  <c r="N157" i="7"/>
  <c r="O156" i="7"/>
  <c r="N156" i="7"/>
  <c r="O155" i="7"/>
  <c r="N155" i="7"/>
  <c r="O154" i="7"/>
  <c r="N154" i="7"/>
  <c r="O153" i="7"/>
  <c r="N153" i="7"/>
  <c r="O152" i="7"/>
  <c r="N152" i="7"/>
  <c r="L165" i="7"/>
  <c r="K165" i="7"/>
  <c r="L164" i="7"/>
  <c r="K164" i="7"/>
  <c r="L163" i="7"/>
  <c r="K163" i="7"/>
  <c r="L161" i="7"/>
  <c r="K161" i="7"/>
  <c r="L160" i="7"/>
  <c r="K160" i="7"/>
  <c r="K158" i="7"/>
  <c r="L158" i="7"/>
  <c r="L159" i="7"/>
  <c r="L157" i="7"/>
  <c r="K157" i="7"/>
  <c r="L156" i="7"/>
  <c r="K156" i="7"/>
  <c r="L155" i="7"/>
  <c r="L154" i="7"/>
  <c r="K154" i="7"/>
  <c r="L153" i="7"/>
  <c r="K153" i="7"/>
  <c r="J153" i="7"/>
  <c r="I165" i="7"/>
  <c r="H165" i="7"/>
  <c r="I164" i="7"/>
  <c r="H164" i="7"/>
  <c r="I163" i="7"/>
  <c r="H163" i="7"/>
  <c r="I161" i="7"/>
  <c r="H161" i="7"/>
  <c r="I159" i="7"/>
  <c r="H159" i="7"/>
  <c r="H156" i="7"/>
  <c r="H157" i="7"/>
  <c r="I157" i="7"/>
  <c r="I155" i="7"/>
  <c r="H155" i="7"/>
  <c r="I154" i="7"/>
  <c r="H154" i="7"/>
  <c r="I152" i="7"/>
  <c r="H152" i="7"/>
  <c r="N142" i="7"/>
  <c r="N136" i="7"/>
  <c r="N130" i="7"/>
  <c r="N117" i="7"/>
  <c r="N66" i="7"/>
  <c r="N53" i="7"/>
  <c r="N54" i="7" s="1"/>
  <c r="N39" i="7"/>
  <c r="N36" i="7"/>
  <c r="N33" i="7"/>
  <c r="N30" i="7"/>
  <c r="N27" i="7"/>
  <c r="N20" i="7"/>
  <c r="O142" i="7"/>
  <c r="O136" i="7"/>
  <c r="O130" i="7"/>
  <c r="O117" i="7"/>
  <c r="O66" i="7"/>
  <c r="O53" i="7"/>
  <c r="O54" i="7" s="1"/>
  <c r="O39" i="7"/>
  <c r="O36" i="7"/>
  <c r="O33" i="7"/>
  <c r="O30" i="7"/>
  <c r="O27" i="7"/>
  <c r="O20" i="7"/>
  <c r="K159" i="7"/>
  <c r="K142" i="7"/>
  <c r="K136" i="7"/>
  <c r="K130" i="7"/>
  <c r="K117" i="7"/>
  <c r="K72" i="7"/>
  <c r="K98" i="7" s="1"/>
  <c r="K66" i="7"/>
  <c r="K53" i="7"/>
  <c r="K54" i="7" s="1"/>
  <c r="K39" i="7"/>
  <c r="K36" i="7"/>
  <c r="K33" i="7"/>
  <c r="K30" i="7"/>
  <c r="K27" i="7"/>
  <c r="K20" i="7"/>
  <c r="L142" i="7"/>
  <c r="L136" i="7"/>
  <c r="L130" i="7"/>
  <c r="L117" i="7"/>
  <c r="L72" i="7"/>
  <c r="L53" i="7"/>
  <c r="L54" i="7" s="1"/>
  <c r="L39" i="7"/>
  <c r="L36" i="7"/>
  <c r="L33" i="7"/>
  <c r="L30" i="7"/>
  <c r="L27" i="7"/>
  <c r="L20" i="7"/>
  <c r="H136" i="7"/>
  <c r="H130" i="7"/>
  <c r="H117" i="7"/>
  <c r="H75" i="7"/>
  <c r="H66" i="7"/>
  <c r="H53" i="7"/>
  <c r="H54" i="7" s="1"/>
  <c r="H39" i="7"/>
  <c r="H36" i="7"/>
  <c r="H33" i="7"/>
  <c r="H28" i="7"/>
  <c r="H160" i="7" s="1"/>
  <c r="H22" i="7"/>
  <c r="H27" i="7" s="1"/>
  <c r="H20" i="7"/>
  <c r="I156" i="7"/>
  <c r="I136" i="7"/>
  <c r="I117" i="7"/>
  <c r="I75" i="7"/>
  <c r="I66" i="7"/>
  <c r="I53" i="7"/>
  <c r="I54" i="7" s="1"/>
  <c r="I39" i="7"/>
  <c r="I36" i="7"/>
  <c r="I33" i="7"/>
  <c r="I28" i="7"/>
  <c r="I30" i="7" s="1"/>
  <c r="I22" i="7"/>
  <c r="I27" i="7" s="1"/>
  <c r="I20" i="7"/>
  <c r="P165" i="7"/>
  <c r="M165" i="7"/>
  <c r="J165" i="7"/>
  <c r="P164" i="7"/>
  <c r="M164" i="7"/>
  <c r="J164" i="7"/>
  <c r="P163" i="7"/>
  <c r="M163" i="7"/>
  <c r="J163" i="7"/>
  <c r="P161" i="7"/>
  <c r="M161" i="7"/>
  <c r="J161" i="7"/>
  <c r="P160" i="7"/>
  <c r="M160" i="7"/>
  <c r="P159" i="7"/>
  <c r="M159" i="7"/>
  <c r="J159" i="7"/>
  <c r="P158" i="7"/>
  <c r="M158" i="7"/>
  <c r="P157" i="7"/>
  <c r="M157" i="7"/>
  <c r="J157" i="7"/>
  <c r="P156" i="7"/>
  <c r="M156" i="7"/>
  <c r="J156" i="7"/>
  <c r="P155" i="7"/>
  <c r="M155" i="7"/>
  <c r="J155" i="7"/>
  <c r="P154" i="7"/>
  <c r="M154" i="7"/>
  <c r="J154" i="7"/>
  <c r="P153" i="7"/>
  <c r="M153" i="7"/>
  <c r="P152" i="7"/>
  <c r="J152" i="7"/>
  <c r="P142" i="7"/>
  <c r="M142" i="7"/>
  <c r="P136" i="7"/>
  <c r="M136" i="7"/>
  <c r="J136" i="7"/>
  <c r="P130" i="7"/>
  <c r="M130" i="7"/>
  <c r="J130" i="7"/>
  <c r="P117" i="7"/>
  <c r="M117" i="7"/>
  <c r="J117" i="7"/>
  <c r="P98" i="7"/>
  <c r="M152" i="7"/>
  <c r="P66" i="7"/>
  <c r="M66" i="7"/>
  <c r="J66" i="7"/>
  <c r="P53" i="7"/>
  <c r="P54" i="7" s="1"/>
  <c r="M53" i="7"/>
  <c r="M54" i="7" s="1"/>
  <c r="J53" i="7"/>
  <c r="J54" i="7" s="1"/>
  <c r="P39" i="7"/>
  <c r="M39" i="7"/>
  <c r="J39" i="7"/>
  <c r="P36" i="7"/>
  <c r="M36" i="7"/>
  <c r="J36" i="7"/>
  <c r="P33" i="7"/>
  <c r="M33" i="7"/>
  <c r="J33" i="7"/>
  <c r="P30" i="7"/>
  <c r="M30" i="7"/>
  <c r="J160" i="7"/>
  <c r="P27" i="7"/>
  <c r="M27" i="7"/>
  <c r="J158" i="7"/>
  <c r="P20" i="7"/>
  <c r="M20" i="7"/>
  <c r="J20" i="7"/>
  <c r="L152" i="7" l="1"/>
  <c r="L151" i="7" s="1"/>
  <c r="L150" i="7" s="1"/>
  <c r="L131" i="7"/>
  <c r="K143" i="7"/>
  <c r="O143" i="7"/>
  <c r="H153" i="7"/>
  <c r="H151" i="7" s="1"/>
  <c r="K152" i="7"/>
  <c r="K151" i="7" s="1"/>
  <c r="H30" i="7"/>
  <c r="H40" i="7" s="1"/>
  <c r="L143" i="7"/>
  <c r="N143" i="7"/>
  <c r="I153" i="7"/>
  <c r="I151" i="7" s="1"/>
  <c r="H158" i="7"/>
  <c r="K131" i="7"/>
  <c r="I158" i="7"/>
  <c r="I160" i="7"/>
  <c r="O162" i="7"/>
  <c r="N162" i="7"/>
  <c r="L162" i="7"/>
  <c r="K162" i="7"/>
  <c r="H162" i="7"/>
  <c r="L40" i="7"/>
  <c r="H131" i="7"/>
  <c r="I143" i="7"/>
  <c r="I162" i="7"/>
  <c r="K40" i="7"/>
  <c r="O40" i="7"/>
  <c r="O131" i="7"/>
  <c r="O151" i="7"/>
  <c r="N40" i="7"/>
  <c r="N131" i="7"/>
  <c r="N151" i="7"/>
  <c r="N150" i="7" s="1"/>
  <c r="P143" i="7"/>
  <c r="H143" i="7"/>
  <c r="J151" i="7"/>
  <c r="J150" i="7" s="1"/>
  <c r="J162" i="7"/>
  <c r="I131" i="7"/>
  <c r="M151" i="7"/>
  <c r="M150" i="7" s="1"/>
  <c r="P151" i="7"/>
  <c r="P150" i="7" s="1"/>
  <c r="I40" i="7"/>
  <c r="J27" i="7"/>
  <c r="J30" i="7"/>
  <c r="J131" i="7"/>
  <c r="J143" i="7"/>
  <c r="M40" i="7"/>
  <c r="P131" i="7"/>
  <c r="P162" i="7"/>
  <c r="P40" i="7"/>
  <c r="M143" i="7"/>
  <c r="M162" i="7"/>
  <c r="M131" i="7"/>
  <c r="J77" i="2"/>
  <c r="H150" i="7" l="1"/>
  <c r="H166" i="7" s="1"/>
  <c r="K150" i="7"/>
  <c r="K166" i="7" s="1"/>
  <c r="O150" i="7"/>
  <c r="O166" i="7" s="1"/>
  <c r="I150" i="7"/>
  <c r="I166" i="7" s="1"/>
  <c r="N144" i="7"/>
  <c r="N145" i="7" s="1"/>
  <c r="K144" i="7"/>
  <c r="K145" i="7" s="1"/>
  <c r="H144" i="7"/>
  <c r="H145" i="7" s="1"/>
  <c r="L144" i="7"/>
  <c r="L145" i="7" s="1"/>
  <c r="O144" i="7"/>
  <c r="O145" i="7" s="1"/>
  <c r="N166" i="7"/>
  <c r="I144" i="7"/>
  <c r="I145" i="7" s="1"/>
  <c r="L166" i="7"/>
  <c r="P166" i="7"/>
  <c r="M144" i="7"/>
  <c r="M145" i="7" s="1"/>
  <c r="J166" i="7"/>
  <c r="J40" i="7"/>
  <c r="J144" i="7" s="1"/>
  <c r="J145" i="7" s="1"/>
  <c r="M166" i="7"/>
  <c r="P144" i="7"/>
  <c r="P145" i="7" s="1"/>
  <c r="H23" i="6"/>
  <c r="J24" i="2"/>
  <c r="H28" i="6" l="1"/>
  <c r="H76" i="6" l="1"/>
  <c r="M58" i="2"/>
  <c r="M61" i="2" s="1"/>
  <c r="I73" i="6" l="1"/>
  <c r="J99" i="6" l="1"/>
  <c r="J48" i="2" l="1"/>
  <c r="J161" i="6" l="1"/>
  <c r="I161" i="6"/>
  <c r="J131" i="6"/>
  <c r="I131" i="6"/>
  <c r="H131" i="6"/>
  <c r="I118" i="6"/>
  <c r="J118" i="6"/>
  <c r="H118" i="6"/>
  <c r="H99" i="6" l="1"/>
  <c r="I99" i="6" l="1"/>
  <c r="M90" i="2"/>
  <c r="K77" i="2" l="1"/>
  <c r="H67" i="6" l="1"/>
  <c r="H132" i="6" s="1"/>
  <c r="I67" i="6"/>
  <c r="I132" i="6" s="1"/>
  <c r="J67" i="6"/>
  <c r="J132" i="6" s="1"/>
  <c r="I54" i="6"/>
  <c r="J54" i="6"/>
  <c r="H54" i="6"/>
  <c r="H55" i="6" s="1"/>
  <c r="K24" i="2"/>
  <c r="H21" i="6"/>
  <c r="I21" i="6"/>
  <c r="H40" i="6"/>
  <c r="H37" i="6"/>
  <c r="H34" i="6"/>
  <c r="H29" i="6"/>
  <c r="H31" i="6" l="1"/>
  <c r="H161" i="6"/>
  <c r="H41" i="6"/>
  <c r="J166" i="6"/>
  <c r="I166" i="6"/>
  <c r="H166" i="6"/>
  <c r="J165" i="6"/>
  <c r="I165" i="6"/>
  <c r="H165" i="6"/>
  <c r="J164" i="6"/>
  <c r="I164" i="6"/>
  <c r="H164" i="6"/>
  <c r="J162" i="6"/>
  <c r="I162" i="6"/>
  <c r="J160" i="6"/>
  <c r="I160" i="6"/>
  <c r="H160" i="6"/>
  <c r="J159" i="6"/>
  <c r="I159" i="6"/>
  <c r="H159" i="6"/>
  <c r="J158" i="6"/>
  <c r="I158" i="6"/>
  <c r="J157" i="6"/>
  <c r="I157" i="6"/>
  <c r="H157" i="6"/>
  <c r="J156" i="6"/>
  <c r="I156" i="6"/>
  <c r="J155" i="6"/>
  <c r="I155" i="6"/>
  <c r="H155" i="6"/>
  <c r="J154" i="6"/>
  <c r="I154" i="6"/>
  <c r="H154" i="6"/>
  <c r="J153" i="6"/>
  <c r="J143" i="6"/>
  <c r="I143" i="6"/>
  <c r="J137" i="6"/>
  <c r="I137" i="6"/>
  <c r="H137" i="6"/>
  <c r="H153" i="6"/>
  <c r="I153" i="6"/>
  <c r="J55" i="6"/>
  <c r="I55" i="6"/>
  <c r="J40" i="6"/>
  <c r="I40" i="6"/>
  <c r="J37" i="6"/>
  <c r="I37" i="6"/>
  <c r="J34" i="6"/>
  <c r="I34" i="6"/>
  <c r="J31" i="6"/>
  <c r="I31" i="6"/>
  <c r="J28" i="6"/>
  <c r="I28" i="6"/>
  <c r="J21" i="6"/>
  <c r="I163" i="6" l="1"/>
  <c r="J41" i="6"/>
  <c r="I41" i="6"/>
  <c r="H163" i="6"/>
  <c r="J163" i="6"/>
  <c r="I152" i="6"/>
  <c r="I151" i="6" s="1"/>
  <c r="J152" i="6"/>
  <c r="J151" i="6" s="1"/>
  <c r="H162" i="6"/>
  <c r="H144" i="6"/>
  <c r="H158" i="6"/>
  <c r="I144" i="6"/>
  <c r="J144" i="6"/>
  <c r="H156" i="6"/>
  <c r="J72" i="2"/>
  <c r="J90" i="2" s="1"/>
  <c r="I167" i="6" l="1"/>
  <c r="J167" i="6"/>
  <c r="H145" i="6"/>
  <c r="H146" i="6" s="1"/>
  <c r="J145" i="6"/>
  <c r="J146" i="6" s="1"/>
  <c r="I145" i="6"/>
  <c r="I146" i="6" s="1"/>
  <c r="H152" i="6"/>
  <c r="H151" i="6" l="1"/>
  <c r="H167" i="6" s="1"/>
  <c r="M27" i="2"/>
  <c r="M48" i="2"/>
  <c r="M109" i="2"/>
  <c r="M120" i="2"/>
  <c r="J25" i="2" l="1"/>
  <c r="K120" i="2" l="1"/>
  <c r="K109" i="2" l="1"/>
  <c r="J149" i="2" l="1"/>
  <c r="K149" i="2"/>
  <c r="M149" i="2"/>
  <c r="K150" i="2"/>
  <c r="J150" i="2"/>
  <c r="K48" i="2"/>
  <c r="K90" i="2"/>
  <c r="J120" i="2"/>
  <c r="J126" i="2"/>
  <c r="K132" i="2"/>
  <c r="J132" i="2"/>
  <c r="J148" i="2" l="1"/>
  <c r="M36" i="2" l="1"/>
  <c r="K36" i="2"/>
  <c r="J36" i="2"/>
  <c r="M33" i="2"/>
  <c r="K33" i="2"/>
  <c r="J33" i="2"/>
  <c r="J143" i="2" l="1"/>
  <c r="M155" i="2" l="1"/>
  <c r="K155" i="2"/>
  <c r="M154" i="2"/>
  <c r="K154" i="2"/>
  <c r="M153" i="2"/>
  <c r="K153" i="2"/>
  <c r="M151" i="2"/>
  <c r="K151" i="2"/>
  <c r="M150" i="2"/>
  <c r="M148" i="2"/>
  <c r="K148" i="2"/>
  <c r="M147" i="2"/>
  <c r="M146" i="2"/>
  <c r="K146" i="2"/>
  <c r="M145" i="2"/>
  <c r="K142" i="2"/>
  <c r="K141" i="2" l="1"/>
  <c r="K140" i="2" s="1"/>
  <c r="J94" i="2" l="1"/>
  <c r="J109" i="2" s="1"/>
  <c r="J145" i="2"/>
  <c r="J27" i="2" l="1"/>
  <c r="K27" i="2"/>
  <c r="K126" i="2" l="1"/>
  <c r="K49" i="2"/>
  <c r="K30" i="2"/>
  <c r="K18" i="2"/>
  <c r="K37" i="2" l="1"/>
  <c r="K133" i="2"/>
  <c r="K121" i="2"/>
  <c r="K152" i="2"/>
  <c r="K156" i="2" l="1"/>
  <c r="K134" i="2"/>
  <c r="K135" i="2" s="1"/>
  <c r="M30" i="2" l="1"/>
  <c r="J30" i="2"/>
  <c r="M126" i="2" l="1"/>
  <c r="J133" i="2" l="1"/>
  <c r="J49" i="2" l="1"/>
  <c r="M49" i="2"/>
  <c r="M18" i="2" l="1"/>
  <c r="J18" i="2"/>
  <c r="J37" i="2" s="1"/>
  <c r="M24" i="2" l="1"/>
  <c r="M37" i="2" s="1"/>
  <c r="J151" i="2" l="1"/>
  <c r="J153" i="2"/>
  <c r="J146" i="2"/>
  <c r="M121" i="2" l="1"/>
  <c r="J121" i="2"/>
  <c r="J147" i="2" l="1"/>
  <c r="M152" i="2" l="1"/>
  <c r="M144" i="2"/>
  <c r="M142" i="2"/>
  <c r="J144" i="2"/>
  <c r="J155" i="2"/>
  <c r="J154" i="2"/>
  <c r="J142" i="2"/>
  <c r="J152" i="2" l="1"/>
  <c r="J141" i="2"/>
  <c r="J140" i="2" s="1"/>
  <c r="J156" i="2" l="1"/>
  <c r="J134" i="2" l="1"/>
  <c r="J135" i="2" l="1"/>
  <c r="M143" i="2" l="1"/>
  <c r="M132" i="2"/>
  <c r="M133" i="2" s="1"/>
  <c r="M134" i="2" s="1"/>
  <c r="M135" i="2" s="1"/>
  <c r="M141" i="2" l="1"/>
  <c r="M140" i="2" l="1"/>
  <c r="M156" i="2" s="1"/>
</calcChain>
</file>

<file path=xl/comments1.xml><?xml version="1.0" encoding="utf-8"?>
<comments xmlns="http://schemas.openxmlformats.org/spreadsheetml/2006/main">
  <authors>
    <author>Audra Cepiene</author>
  </authors>
  <commentList>
    <comment ref="E35"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8"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6" authorId="0" shapeId="0">
      <text>
        <r>
          <rPr>
            <sz val="9"/>
            <color indexed="81"/>
            <rFont val="Tahoma"/>
            <family val="2"/>
            <charset val="186"/>
          </rPr>
          <t>pagal taryboje patvirtintą 2017-2021 m. programą</t>
        </r>
      </text>
    </comment>
    <comment ref="E46"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8"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6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8" authorId="0" shapeId="0">
      <text>
        <r>
          <rPr>
            <sz val="9"/>
            <color indexed="81"/>
            <rFont val="Tahoma"/>
            <family val="2"/>
            <charset val="186"/>
          </rPr>
          <t>KSP 2.3.1 uždavinys užtikrinti žaliųjų miesto plotų vystymą</t>
        </r>
      </text>
    </comment>
    <comment ref="G70"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8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0"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5"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4" authorId="0" shapeId="0">
      <text>
        <r>
          <rPr>
            <sz val="9"/>
            <color indexed="81"/>
            <rFont val="Tahoma"/>
            <family val="2"/>
            <charset val="186"/>
          </rPr>
          <t>(su galimybe restauruoti Klaipėdos geležinkelio stoties demontuotą pėsčiųjų tiltą (unikalus kodas Kultūros vertybių registre Nr. 32423))</t>
        </r>
      </text>
    </comment>
    <comment ref="E12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H152" authorId="0" shapeId="0">
      <text>
        <r>
          <rPr>
            <b/>
            <sz val="9"/>
            <color indexed="81"/>
            <rFont val="Tahoma"/>
            <family val="2"/>
            <charset val="186"/>
          </rPr>
          <t xml:space="preserve">7410,8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34"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5" authorId="0" shapeId="0">
      <text>
        <r>
          <rPr>
            <sz val="9"/>
            <color indexed="81"/>
            <rFont val="Tahoma"/>
            <family val="2"/>
            <charset val="186"/>
          </rPr>
          <t>pagal taryboje patvirtintą 2017-2021 m. programą</t>
        </r>
      </text>
    </comment>
    <comment ref="E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5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5"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D67" authorId="0" shapeId="0">
      <text>
        <r>
          <rPr>
            <sz val="9"/>
            <color indexed="81"/>
            <rFont val="Tahoma"/>
            <family val="2"/>
            <charset val="186"/>
          </rPr>
          <t>KSP 2.3.1 uždavinys užtikrinti žaliųjų miesto plotų vystymą</t>
        </r>
      </text>
    </comment>
    <comment ref="G69"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7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9"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3" authorId="0" shapeId="0">
      <text>
        <r>
          <rPr>
            <sz val="9"/>
            <color indexed="81"/>
            <rFont val="Tahoma"/>
            <family val="2"/>
            <charset val="186"/>
          </rPr>
          <t>(su galimybe restauruoti Klaipėdos geležinkelio stoties demontuotą pėsčiųjų tiltą (unikalus kodas Kultūros vertybių registre Nr. 32423))</t>
        </r>
      </text>
    </comment>
    <comment ref="E12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I151" authorId="0" shapeId="0">
      <text>
        <r>
          <rPr>
            <b/>
            <sz val="9"/>
            <color indexed="81"/>
            <rFont val="Tahoma"/>
            <family val="2"/>
            <charset val="186"/>
          </rPr>
          <t>biudžetas 7410,8</t>
        </r>
        <r>
          <rPr>
            <sz val="9"/>
            <color indexed="81"/>
            <rFont val="Tahoma"/>
            <family val="2"/>
            <charset val="186"/>
          </rPr>
          <t xml:space="preserve">
</t>
        </r>
      </text>
    </comment>
    <comment ref="I158" authorId="0" shapeId="0">
      <text>
        <r>
          <rPr>
            <b/>
            <sz val="9"/>
            <color indexed="81"/>
            <rFont val="Tahoma"/>
            <family val="2"/>
            <charset val="186"/>
          </rPr>
          <t xml:space="preserve">382 +4
</t>
        </r>
        <r>
          <rPr>
            <sz val="9"/>
            <color indexed="81"/>
            <rFont val="Tahoma"/>
            <family val="2"/>
            <charset val="186"/>
          </rPr>
          <t xml:space="preserve">
</t>
        </r>
      </text>
    </comment>
    <comment ref="I160" authorId="0" shapeId="0">
      <text>
        <r>
          <rPr>
            <b/>
            <sz val="9"/>
            <color indexed="81"/>
            <rFont val="Tahoma"/>
            <family val="2"/>
            <charset val="186"/>
          </rPr>
          <t xml:space="preserve">1235,5
</t>
        </r>
        <r>
          <rPr>
            <sz val="9"/>
            <color indexed="81"/>
            <rFont val="Tahoma"/>
            <family val="2"/>
            <charset val="186"/>
          </rPr>
          <t xml:space="preserve">
</t>
        </r>
      </text>
    </comment>
    <comment ref="I161" authorId="0" shapeId="0">
      <text>
        <r>
          <rPr>
            <sz val="9"/>
            <color indexed="81"/>
            <rFont val="Tahoma"/>
            <family val="2"/>
            <charset val="186"/>
          </rPr>
          <t xml:space="preserve">470
</t>
        </r>
      </text>
    </comment>
  </commentList>
</comments>
</file>

<file path=xl/comments3.xml><?xml version="1.0" encoding="utf-8"?>
<comments xmlns="http://schemas.openxmlformats.org/spreadsheetml/2006/main">
  <authors>
    <author>Audra Cepiene</author>
  </authors>
  <commentList>
    <comment ref="N25" authorId="0" shapeId="0">
      <text>
        <r>
          <rPr>
            <sz val="9"/>
            <color indexed="81"/>
            <rFont val="Tahoma"/>
            <family val="2"/>
            <charset val="186"/>
          </rPr>
          <t>Pagal pasirašytas sutartis vykdomos atliekų tvarkymo švietimo priemonės - 1) Plakatų kūrimas, leidyba, eksploatavimas; 2) Edukacinio ekologinio ugdymo pamokos mokiniams; 3) viešinimo paslaugos per žiniasklaidos atstovus; 4) tušinukų gamyba; 6) pirkinių maišelių gamyba.</t>
        </r>
      </text>
    </comment>
    <comment ref="F31"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N31" authorId="0" shapeId="0">
      <text>
        <r>
          <rPr>
            <b/>
            <sz val="9"/>
            <color indexed="81"/>
            <rFont val="Tahoma"/>
            <family val="2"/>
            <charset val="186"/>
          </rPr>
          <t>išdalinta gyventojams</t>
        </r>
        <r>
          <rPr>
            <sz val="9"/>
            <color indexed="81"/>
            <rFont val="Tahoma"/>
            <family val="2"/>
            <charset val="186"/>
          </rPr>
          <t xml:space="preserve">
</t>
        </r>
      </text>
    </comment>
    <comment ref="F34"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40" authorId="0" shapeId="0">
      <text>
        <r>
          <rPr>
            <sz val="9"/>
            <color indexed="81"/>
            <rFont val="Tahoma"/>
            <family val="2"/>
            <charset val="186"/>
          </rPr>
          <t>pagal taryboje patvirtintą 2017-2021 m. programą</t>
        </r>
      </text>
    </comment>
    <comment ref="F40"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N40" authorId="0" shapeId="0">
      <text>
        <r>
          <rPr>
            <sz val="9"/>
            <color indexed="81"/>
            <rFont val="Tahoma"/>
            <family val="2"/>
            <charset val="186"/>
          </rPr>
          <t xml:space="preserve">Pagal parengtą Klaipėdos miesto savivaldybės aplinkos monitoringo programą 2017-2021 m. bus atliekami aplinkos oro matavimai 31 taške, triukšmo – 42 vietų, dirvožemio – 151 vietose, hidrologiniai, hidrobiologiniai tyrimai 10 paviršinio vandens telkiniuose, biologinės įvairovės bei kraštovaizdžio </t>
        </r>
      </text>
    </comment>
    <comment ref="F42"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N42" authorId="0" shapeId="0">
      <text>
        <r>
          <rPr>
            <sz val="9"/>
            <color indexed="81"/>
            <rFont val="Tahoma"/>
            <family val="2"/>
            <charset val="186"/>
          </rPr>
          <t xml:space="preserve">"Žaliasis pasaulis" 1 egz. 39 įstaigos
</t>
        </r>
      </text>
    </comment>
    <comment ref="J46" authorId="0" shapeId="0">
      <text>
        <r>
          <rPr>
            <sz val="9"/>
            <color indexed="81"/>
            <rFont val="Tahoma"/>
            <family val="2"/>
            <charset val="186"/>
          </rPr>
          <t xml:space="preserve">panaudos 90 proc., likutis (10 proc.) keliasi į 2019 m. 
</t>
        </r>
      </text>
    </comment>
    <comment ref="N46" authorId="0" shapeId="0">
      <text>
        <r>
          <rPr>
            <sz val="9"/>
            <color indexed="81"/>
            <rFont val="Tahoma"/>
            <family val="2"/>
            <charset val="186"/>
          </rPr>
          <t xml:space="preserve">Klaipėdos miesto savivaldybės administracija 2017 m. gruodžio 11 d. Nr. J9-2786 sudarė sutartį su UAB „Infraplanas“, kurie rengia strateginius pagrindinių kelių, kelių ruožų, pagrindinių geležinkelių, geležinkelių ruožų ir pramonės veiklos zonoms triukšmo žemėlapius. </t>
        </r>
        <r>
          <rPr>
            <b/>
            <sz val="9"/>
            <color indexed="81"/>
            <rFont val="Tahoma"/>
            <family val="2"/>
            <charset val="186"/>
          </rPr>
          <t xml:space="preserve">Sutarties pabaiga 2018-12-31d. </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N52"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N54" authorId="0" shapeId="0">
      <text>
        <r>
          <rPr>
            <sz val="9"/>
            <color indexed="81"/>
            <rFont val="Tahoma"/>
            <family val="2"/>
            <charset val="186"/>
          </rPr>
          <t xml:space="preserve">Reikia pastovios telkinių priežiūros
</t>
        </r>
      </text>
    </comment>
    <comment ref="O56" authorId="0" shapeId="0">
      <text>
        <r>
          <rPr>
            <b/>
            <sz val="9"/>
            <color indexed="81"/>
            <rFont val="Tahoma"/>
            <family val="2"/>
            <charset val="186"/>
          </rPr>
          <t xml:space="preserve">1. Rengiams Danės upės senvagės sutvarkymo projektas 9 tūkst. eur. </t>
        </r>
        <r>
          <rPr>
            <sz val="9"/>
            <color indexed="81"/>
            <rFont val="Tahoma"/>
            <family val="2"/>
            <charset val="186"/>
          </rPr>
          <t xml:space="preserve">  Danės upės senvagės plotai ribojasi su Botanikos sodu, dviračių taku ir Klaipėdos gatve. Šiuo metu ten klampynė, susidaręs miško-pelkės biotopas su įvairiarūšiais augalais. Botanikos sodo vadovai prašo sutvarkyti ir pritaikyti šią teritoriją rekreacijai, nes šalia praeina puikus dviračių takas, botanikos sodas nestokoja lankytojų, kurie mielai poilsiautų šioje sutvarkytoje vietoje.     2. </t>
        </r>
        <r>
          <rPr>
            <b/>
            <sz val="9"/>
            <color indexed="81"/>
            <rFont val="Tahoma"/>
            <family val="2"/>
            <charset val="186"/>
          </rPr>
          <t xml:space="preserve">Žardės Kuncų piliakalnio telkinio projektas, 10 tūkst. </t>
        </r>
        <r>
          <rPr>
            <sz val="9"/>
            <color indexed="81"/>
            <rFont val="Tahoma"/>
            <family val="2"/>
            <charset val="186"/>
          </rPr>
          <t>Pietinėje miesto dalyje esantis Žardės Kuncų piliakalnis yra vertingas objektas. Jo sutvarkymas ir pritaikymas lankymui būtų didelis indėlis palikimo išsaugojimui, pažinimui ir  puoselėjimui. Pagal parengtą projektą bus atliekami sutvarkymo darbai. Tuo pačiu bus tvarkomas Žardės Kuncų piliakalnio natūralaus vandens telkinys.</t>
        </r>
      </text>
    </comment>
    <comment ref="O57" authorId="0" shapeId="0">
      <text>
        <r>
          <rPr>
            <b/>
            <sz val="9"/>
            <color indexed="81"/>
            <rFont val="Tahoma"/>
            <family val="2"/>
            <charset val="186"/>
          </rPr>
          <t>Žardės mažojo telkinio sutvarkymo darbai, 190 tūkst. eur</t>
        </r>
        <r>
          <rPr>
            <sz val="9"/>
            <color indexed="81"/>
            <rFont val="Tahoma"/>
            <family val="2"/>
            <charset val="186"/>
          </rPr>
          <t xml:space="preserve">
Pagal parengtą projektą vandens telkinį (mažasis Žardės tvenkinys),  esantį parke tarp Statybininkų prospekto ir Smiltelės gatvės   numatoma išvalyti – iškirsti menkaverčių krūmų sąžalynus,  suformuoti tvenkinio dugną, krantus ir sutvarkyti gerbūvį. Atnaujinti želdinius apie telkinį.
Šiuo metu vandens telkinys yra visas apžėlęs menkaverčiais krūmais, ten gyvena asocialūs asmenys, pastoviai šiukšlinamas. Kadangi jis yra prie pagrindinių parko dviračių/pėsčiųjų takų, būtina sutvarkyti dėl saugumo.
</t>
        </r>
      </text>
    </comment>
    <comment ref="P57"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Q57"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R57"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E59"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E62"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6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I65"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67"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N69" authorId="0" shapeId="0">
      <text>
        <r>
          <rPr>
            <sz val="9"/>
            <color indexed="81"/>
            <rFont val="Tahoma"/>
            <family val="2"/>
            <charset val="186"/>
          </rPr>
          <t>2019 m. tvarkomi dviračių takai, esantys Šiaurės rage, Dangės upės krantinėje, Kretingos gatvėje, Lideikio gatvėje ir kituose dviračių takuose iškilus poreikiui</t>
        </r>
      </text>
    </comment>
    <comment ref="N70" authorId="0" shapeId="0">
      <text>
        <r>
          <rPr>
            <sz val="9"/>
            <color indexed="81"/>
            <rFont val="Tahoma"/>
            <family val="2"/>
            <charset val="186"/>
          </rPr>
          <t>2019 m. bus tvarkomos senos, pavienės tuopos prie daugiabučių gyvenamųjų namų, švietimo įstaigų teritorijose (vaikų lopšeliuose darželiuose, mokyklose)</t>
        </r>
      </text>
    </comment>
    <comment ref="N71" authorId="0" shapeId="0">
      <text>
        <r>
          <rPr>
            <sz val="9"/>
            <color indexed="81"/>
            <rFont val="Tahoma"/>
            <family val="2"/>
            <charset val="186"/>
          </rPr>
          <t xml:space="preserve">2019 m. - 27 atnaujinta medžių, 409 krūmų </t>
        </r>
      </text>
    </comment>
    <comment ref="N72" authorId="0" shapeId="0">
      <text>
        <r>
          <rPr>
            <sz val="9"/>
            <color indexed="81"/>
            <rFont val="Tahoma"/>
            <family val="2"/>
            <charset val="186"/>
          </rPr>
          <t>Parko techniniame projekte numatytas apšvietimas, vaikų žaidimo ir sporto aikštelės. Rangos darbų pirkimas dar nepradėtas, po pirkimo sumos bus tikslinamos</t>
        </r>
      </text>
    </comment>
    <comment ref="F7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7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N82" authorId="0" shapeId="0">
      <text>
        <r>
          <rPr>
            <sz val="9"/>
            <color indexed="81"/>
            <rFont val="Tahoma"/>
            <family val="2"/>
            <charset val="186"/>
          </rPr>
          <t>II-etapo teritorijos sutvarkymo darbai planuojami 2022 m.</t>
        </r>
      </text>
    </comment>
    <comment ref="F8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91"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F9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N99" authorId="0" shapeId="0">
      <text>
        <r>
          <rPr>
            <sz val="9"/>
            <color indexed="81"/>
            <rFont val="Tahoma"/>
            <family val="2"/>
            <charset val="186"/>
          </rPr>
          <t xml:space="preserve">Žemėtvarkos skyrius parengs  Žemės sklypo pertvarkymo ir formavimo projektą iš 1 programoje suplanuotų lėšų. Darbų pradžia </t>
        </r>
        <r>
          <rPr>
            <b/>
            <sz val="9"/>
            <color indexed="81"/>
            <rFont val="Tahoma"/>
            <family val="2"/>
            <charset val="186"/>
          </rPr>
          <t>2022 m.</t>
        </r>
      </text>
    </comment>
    <comment ref="N103" authorId="0" shapeId="0">
      <text>
        <r>
          <rPr>
            <sz val="9"/>
            <color indexed="81"/>
            <rFont val="Tahoma"/>
            <family val="2"/>
            <charset val="186"/>
          </rPr>
          <t xml:space="preserve">Porjekto pabaiga 2022 m., 2 mln. eur
</t>
        </r>
      </text>
    </comment>
    <comment ref="E105" authorId="0" shapeId="0">
      <text>
        <r>
          <rPr>
            <sz val="9"/>
            <color indexed="81"/>
            <rFont val="Tahoma"/>
            <family val="2"/>
            <charset val="186"/>
          </rPr>
          <t>(su galimybe restauruoti Klaipėdos geležinkelio stoties demontuotą pėsčiųjų tiltą (unikalus kodas Kultūros vertybių registre Nr. 32423))</t>
        </r>
      </text>
    </comment>
    <comment ref="F11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N111" authorId="0" shapeId="0">
      <text>
        <r>
          <rPr>
            <sz val="9"/>
            <color indexed="81"/>
            <rFont val="Tahoma"/>
            <family val="2"/>
            <charset val="186"/>
          </rPr>
          <t>2019 m. planuojama suremontuoti po 1500 m2 medinių takų ir po 175 m2 medinių laiptų</t>
        </r>
      </text>
    </comment>
    <comment ref="E123"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N128" authorId="0" shapeId="0">
      <text>
        <r>
          <rPr>
            <sz val="9"/>
            <color indexed="81"/>
            <rFont val="Tahoma"/>
            <family val="2"/>
            <charset val="186"/>
          </rPr>
          <t>Buvo kreipiamasi į Aplinkos ministeriją su prašymu pagal projektą įgyvendinti dar vieną veiklą – „Aplinkos oro kokybės valdymo priemonių plano parengimas“, ir skirti papildomą ES finansavimą. Bendra planuojama vertė – 320 tūkst. eurų. SB 15 proc. prisidėjimo dalis būtų skirta iš AA lėšų.</t>
        </r>
      </text>
    </comment>
    <comment ref="J141" authorId="0" shapeId="0">
      <text>
        <r>
          <rPr>
            <sz val="9"/>
            <color indexed="81"/>
            <rFont val="Tahoma"/>
            <family val="2"/>
            <charset val="186"/>
          </rPr>
          <t xml:space="preserve">8448,8
</t>
        </r>
      </text>
    </comment>
  </commentList>
</comments>
</file>

<file path=xl/sharedStrings.xml><?xml version="1.0" encoding="utf-8"?>
<sst xmlns="http://schemas.openxmlformats.org/spreadsheetml/2006/main" count="1022" uniqueCount="225">
  <si>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</si>
  <si>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</si>
  <si>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</si>
  <si>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</si>
  <si>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</si>
  <si>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</si>
  <si>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</si>
  <si>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</si>
  <si>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</si>
  <si>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</si>
  <si>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</si>
  <si>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</si>
  <si>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</si>
  <si>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</si>
  <si>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</si>
  <si>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</si>
  <si>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</si>
  <si>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</si>
  <si>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</si>
  <si>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</si>
  <si>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</si>
  <si>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</si>
  <si>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</si>
  <si>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</si>
  <si>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</si>
  <si>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</si>
  <si>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</si>
  <si>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</si>
  <si>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</si>
  <si>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</si>
  <si>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</si>
  <si>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</si>
  <si>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</si>
  <si>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</si>
  <si>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</si>
  <si>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</si>
  <si>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</si>
  <si>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</si>
  <si>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</si>
  <si>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</si>
  <si>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</si>
  <si>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</si>
  <si>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</si>
  <si>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</si>
  <si>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</si>
  <si>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</si>
  <si>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</si>
  <si>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</si>
  <si>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</si>
  <si>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</si>
  <si>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</si>
  <si>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</si>
  <si>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</si>
  <si>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</si>
  <si>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</si>
  <si>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Miesto želdynų ir želdinių tvarkymas ir kūrimas:</t>
  </si>
  <si>
    <t>Naujų ir esamų želdynų tvarkymas ir kūrimas</t>
  </si>
  <si>
    <t>P.2.3.1.1.</t>
  </si>
  <si>
    <t>P2.1.2.7</t>
  </si>
  <si>
    <t xml:space="preserve">IED Projektų skyrius </t>
  </si>
  <si>
    <t>Pajūrio juostos priežiūra ir apsauga:</t>
  </si>
  <si>
    <t>P2.3.1.2</t>
  </si>
  <si>
    <t xml:space="preserve"> MŪD BĮ "Klaipėdos paplūdimiai" </t>
  </si>
  <si>
    <t>SB(VB)</t>
  </si>
  <si>
    <t>UPD Architektūros ir miesto planavimo sk.</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</si>
  <si>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</si>
  <si>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</si>
  <si>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</si>
  <si>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</si>
  <si>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</si>
  <si>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</si>
  <si>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</si>
  <si>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Vietinių rinkliavų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</si>
  <si>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</si>
  <si>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</si>
  <si>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</si>
  <si>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</si>
  <si>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</si>
  <si>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</si>
  <si>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</si>
  <si>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</si>
  <si>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tūkst. Eur</t>
  </si>
  <si>
    <t xml:space="preserve">Sąjūdžio parko reprezentacinės dalies ir prieigų sutvarkymas </t>
  </si>
  <si>
    <t>Atlikta techninio projekto korektūra, vnt.</t>
  </si>
  <si>
    <t>Miesto vandens telkinių priežiūra:</t>
  </si>
  <si>
    <t>Medinių laiptų ir takų, vedančių per apsauginį kopagūbrį, remontas</t>
  </si>
  <si>
    <t>P2.3.3.2</t>
  </si>
  <si>
    <t>Gamtinės aplinkos stebėsenos ir ekologinio švietimo vykdymas:</t>
  </si>
  <si>
    <t xml:space="preserve">Parengtas techninis projektas, vnt. </t>
  </si>
  <si>
    <t xml:space="preserve">MŪD Miesto tvarkymo skyrius 
</t>
  </si>
  <si>
    <t>2019-ieji metai</t>
  </si>
  <si>
    <t>Įsigyta valymo mašinų, vnt.</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</si>
  <si>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</si>
  <si>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</si>
  <si>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</si>
  <si>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</si>
  <si>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</si>
  <si>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</si>
  <si>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 xml:space="preserve">IED Statybos ir infrastruktūros plėtros skyrius
</t>
  </si>
  <si>
    <t>Kt</t>
  </si>
  <si>
    <t>Išvalyta nuo helofitų Žardės ir Draugystės vandens telkinių ploto, ha</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</si>
  <si>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</si>
  <si>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</si>
  <si>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</si>
  <si>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</si>
  <si>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Sakurų parko įrengimas teritorijoje tarp Žvejų rūmų, Taikos pr., Naikupės g. ir įvažiuojamojo kelio į Žvejų rūmus</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</si>
  <si>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</si>
  <si>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</si>
  <si>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</si>
  <si>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</si>
  <si>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t>Sutvirtinta kopagūbrio, pinant tvoreles iš žabų, m.</t>
  </si>
  <si>
    <t>2020-ųjų metų lėšų projektas</t>
  </si>
  <si>
    <t>2020-ieji metai</t>
  </si>
  <si>
    <t>Atlikta parko (1,1 ha) įrengimo darbų. Užbaigtumas, proc.</t>
  </si>
  <si>
    <t>65</t>
  </si>
  <si>
    <t>Detalus (instrumentinis) medžio būklės vertinimas</t>
  </si>
  <si>
    <t>Ištirtų medžių kiekis, vnt.</t>
  </si>
  <si>
    <t>3,7</t>
  </si>
  <si>
    <t>IED  Statybos ir infrastruktūros plėtros skyrius</t>
  </si>
  <si>
    <t>SB(ŽPL)</t>
  </si>
  <si>
    <t>Pėsčiųjų ir dviračių takų Minijos g. nuo Baltijos pr., Pilies g., Naujojoje Uosto g. įrengimas</t>
  </si>
  <si>
    <t>Nutiesta dviračių tako. Užbaigtumas, proc.</t>
  </si>
  <si>
    <t>Dviračių ir pėsčiųjų takų  plėtra:</t>
  </si>
  <si>
    <t xml:space="preserve">Oro taršos kietosiomis dalelėmis mažinimas, atnaujinant gatvių priežiūros ir valymo technologijas </t>
  </si>
  <si>
    <t>FTD Turto skyrius</t>
  </si>
  <si>
    <t xml:space="preserve">Dviračių ir pėsčiųjų tako Danės upės slėnio teritorijoje nuo Klaipėdos g. tilto iki miesto ribos įrengimas </t>
  </si>
  <si>
    <t>Padidintas AB "Klaipėdos vanduo" įstatinis kapitalas, proc.</t>
  </si>
  <si>
    <t xml:space="preserve">Parengti tvarkymo aprašai (projektai), vnt. </t>
  </si>
  <si>
    <t xml:space="preserve">Ąžuolyno giraitės sutvarkymas, gerinant gamtinę aplinką ir skatinant aktyvų laisvalaikį ir lankytojų srautus  </t>
  </si>
  <si>
    <t>P2.4.2.2</t>
  </si>
  <si>
    <t xml:space="preserve">Atlikta viešosios erdvės (86 027 m²)  sutvarkymo darbų. Užbaigtumas, proc. </t>
  </si>
  <si>
    <t xml:space="preserve">Atlikta I-etapo teritorijos sutvarkymo darbų. Užbaigtumas, proc. </t>
  </si>
  <si>
    <t>06</t>
  </si>
  <si>
    <t>P.2.3.1.1</t>
  </si>
  <si>
    <t>Nutiesta dviračių tako (1,539 km). Užbaigtumas, proc.</t>
  </si>
  <si>
    <t>Pakeista medinių takų ir laiptų, tūkst. kv. m</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</si>
  <si>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</si>
  <si>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</si>
  <si>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</si>
  <si>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Skirtumas</t>
  </si>
  <si>
    <t>Planas</t>
  </si>
  <si>
    <t>Paaiškinimas</t>
  </si>
  <si>
    <t>Lyginamasis variantas</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</si>
  <si>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</si>
  <si>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</si>
  <si>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</si>
  <si>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</si>
  <si>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t>SB(ESL)</t>
  </si>
  <si>
    <t>Siūlomas keisti 2020-ųjų metų  lėšų projektas</t>
  </si>
  <si>
    <t>Įrengta informacinių stendų prie atliekų surinkimo konteinerių aikštelių, vnt.</t>
  </si>
  <si>
    <t>Asbesto turinčių gaminių atliekų surinkimas apvažiavimo būdu, transportavimas ir šalinimas iš gyvenamųjų bei viešosios paskirties pastatų</t>
  </si>
  <si>
    <t>Sutvarkyta asbesto gaminių atliekų, t</t>
  </si>
  <si>
    <t>Sutvarkyta želdinių prie dviračių takų, vnt.</t>
  </si>
  <si>
    <t>Atnaujinta medžių ir krūmų skvere tarp Puodžių g. ir Bokštų g., vnt.</t>
  </si>
  <si>
    <t>2021-ųjų metų lėšų projektas</t>
  </si>
  <si>
    <t>2021-ieji metai</t>
  </si>
  <si>
    <t>Iškirsta tuopų ir keičiama naujais želdiniais, vnt.</t>
  </si>
  <si>
    <r>
      <t xml:space="preserve">Savivaldybės biudžeto apyvartos lėšos ES finansinės paramos programų laikinam lėšų stygiui dengti </t>
    </r>
    <r>
      <rPr>
        <b/>
        <sz val="10"/>
        <rFont val="Times New Roman"/>
        <family val="1"/>
        <charset val="186"/>
      </rPr>
      <t>SB(ESA)</t>
    </r>
  </si>
  <si>
    <r>
      <t>Europos Sąjungos paramos lėšos, kurios įtrauktos į Savivaldybės biudžetą, lėšų likučių lėšos</t>
    </r>
    <r>
      <rPr>
        <b/>
        <sz val="10"/>
        <rFont val="Times New Roman"/>
        <family val="1"/>
        <charset val="186"/>
      </rPr>
      <t xml:space="preserve"> SB(ESL)</t>
    </r>
  </si>
  <si>
    <t>2019-ųjų metų asignavimų planas</t>
  </si>
  <si>
    <t>2,5</t>
  </si>
  <si>
    <t>2,6</t>
  </si>
  <si>
    <t>2,7</t>
  </si>
  <si>
    <t>Išvežta statybinių, biologiškai skaidžių šiukšlių, t</t>
  </si>
  <si>
    <t>944</t>
  </si>
  <si>
    <t>Surinkta pavojingų atliekų, t</t>
  </si>
  <si>
    <t>3,4</t>
  </si>
  <si>
    <t>Žaliųjų atliekų surinkimo konteinerių įsigijimas</t>
  </si>
  <si>
    <t>Įsigyta žaliųjų atliekų surinkimo konteinerių, vnt.</t>
  </si>
  <si>
    <t>Įgyvendinta atliekų tvarkymo švietimo priemonių, vnt.</t>
  </si>
  <si>
    <t xml:space="preserve">Sutvarkyta vandens telkinių (2019 m.  Žardės mažasis telkinys), vnt.  </t>
  </si>
  <si>
    <t xml:space="preserve">Vandens telkinių dugno valymas ir aplinkos apželdinimas </t>
  </si>
  <si>
    <t>Parengta ataskaita, vnt.</t>
  </si>
  <si>
    <t>2130</t>
  </si>
  <si>
    <t xml:space="preserve">IED Projektų skyrius 
</t>
  </si>
  <si>
    <t>Parengtas aplinkos oro kokybės valdymo priemonių planas, vnt.</t>
  </si>
  <si>
    <t>1</t>
  </si>
  <si>
    <t>Klaipėdos miesto bendrojo plano kraštovaizdžio dalies keitimas ir Melnragės parko įrengimas</t>
  </si>
  <si>
    <t>Malūno parko teritorijos sutvarkymas, gerinant gamtinę aplinką ir skatinant lankytojų srautus (I etapas)</t>
  </si>
  <si>
    <t>Smeltalės upės valymo poveikio aplinkai vertinimo atrankos rengimas</t>
  </si>
  <si>
    <t>5</t>
  </si>
  <si>
    <t xml:space="preserve">*pagal Klaipėdos miesto savivaldybės tarybos 2018-10-25 sprendimą Nr. T2-221
</t>
  </si>
  <si>
    <t>Pėsčiųjų tako nuo Melnragės pagrindinio įėjimo į paplūdimį iki Melnragės gelbėjimo stoties techninio projekto parengimas</t>
  </si>
  <si>
    <t>IED</t>
  </si>
  <si>
    <t xml:space="preserve">AB „Klaipėdos vanduo“ įstatinio kapitalo didinimas įgyvendinant ES lėšomis finansuojamą projektą „Paviršinių nuotekų sistemų tvarkymas Klaipėdos mieste“ įgyvendinimas (projekto vykdytojas – AB „Klaipėdos vanduo“) </t>
  </si>
  <si>
    <t>Dviračių ir pėsčiųjų takų bei jungčių Smiltynėje iki Naujosios Perkėlos įrengimas</t>
  </si>
  <si>
    <t>I, P6</t>
  </si>
  <si>
    <r>
      <t xml:space="preserve">Savivaldybės tikslinės lėšos, skirtos aplinkos apsaugai </t>
    </r>
    <r>
      <rPr>
        <b/>
        <sz val="10"/>
        <rFont val="Times New Roman"/>
        <family val="1"/>
        <charset val="186"/>
      </rPr>
      <t>SB(AA)</t>
    </r>
  </si>
  <si>
    <t>2019-ųjų metų asignavimų planas*</t>
  </si>
  <si>
    <t xml:space="preserve">2019–2021 M. KLAIPĖDOS MIESTO SAVIVALDYBĖS     </t>
  </si>
  <si>
    <t>priedas</t>
  </si>
  <si>
    <t>Atlikti parko įrengimo darbai. Užbaigtumas, proc. (darbų pradžia 2022 m.)</t>
  </si>
  <si>
    <t xml:space="preserve">Atlikta parko sutvarkymo darbų. Užbaigtumas, proc. </t>
  </si>
  <si>
    <t xml:space="preserve">Klaipėdos miesto savivaldybės aplinkos apsaugos programos (Nr. 05) aprašymo                                      
</t>
  </si>
  <si>
    <t>________________________________________</t>
  </si>
  <si>
    <t>2019-ųjų metų asignavi-mų planas</t>
  </si>
  <si>
    <r>
      <t>Europos Sąjungos paramos lėšos, kurios įtrauktos į savivaldybės biudžetą, lėšų likučių lėšos</t>
    </r>
    <r>
      <rPr>
        <b/>
        <sz val="10"/>
        <rFont val="Times New Roman"/>
        <family val="1"/>
        <charset val="186"/>
      </rPr>
      <t xml:space="preserve"> SB(ESL)</t>
    </r>
  </si>
  <si>
    <t>Parengta triukšmo (kelių, geležinkelių, pramonės veiklos zonų)  žemėlapių, kuriose bus renkami dienos, vakaro, nakties ir paros rodikliai, vnt.</t>
  </si>
  <si>
    <t>Pašalinta helofitų iš Žardės ir Draugystės vandens telkinių ploto, ha</t>
  </si>
  <si>
    <t xml:space="preserve">Atlikta I etapo teritorijos sutvarkymo darbų. Užbaigtumas, proc. </t>
  </si>
  <si>
    <t xml:space="preserve">AB „Klaipėdos vanduo“ įstatinio kapitalo didinimas įgyvendinant ES lėšomis finansuojamą projektą „Paviršinių nuotekų sistemų tvarkymas Klaipėdos mieste“ įgyvendinimas (projekto vykdytoja – AB „Klaipėdos vanduo“) </t>
  </si>
  <si>
    <t>Siūlomas keisti 2019-ųjų metų asignavimų planas</t>
  </si>
  <si>
    <t>Siūlomas keisti 2021-ųjų metų  lėšų projektas</t>
  </si>
  <si>
    <t>Siūlomas keisti 2019 metų  asignavimų planas</t>
  </si>
  <si>
    <t>Sutvirtinta kopagūbrio žabų klojiniais, tūkst. kv. m.</t>
  </si>
  <si>
    <t>Projekto „Aplinkos pritaikymo ir aplinkosauginių priemonių įgyvendinimas Baltijos jūros paplūdimių zonoje“ įgyvendinimas</t>
  </si>
  <si>
    <t xml:space="preserve">2019–2022 M. KLAIPĖDOS MIESTO SAVIVALDYBĖS     </t>
  </si>
  <si>
    <t>2020-ųjų metų asignavimų planas</t>
  </si>
  <si>
    <t>2022-ųjų metų lėšų projektas</t>
  </si>
  <si>
    <t>2022-ieji metai</t>
  </si>
  <si>
    <t>28</t>
  </si>
  <si>
    <t>Atnaujinta želdinių mieste, vnt.</t>
  </si>
  <si>
    <t>Atnaujinta želdynių mieste, vnt.</t>
  </si>
  <si>
    <r>
      <rPr>
        <strike/>
        <sz val="10"/>
        <color rgb="FFFF0000"/>
        <rFont val="Times New Roman"/>
        <family val="1"/>
        <charset val="186"/>
      </rPr>
      <t>20</t>
    </r>
    <r>
      <rPr>
        <sz val="10"/>
        <color rgb="FFFF0000"/>
        <rFont val="Times New Roman"/>
        <family val="1"/>
        <charset val="186"/>
      </rPr>
      <t xml:space="preserve">   0</t>
    </r>
  </si>
  <si>
    <r>
      <rPr>
        <sz val="10"/>
        <color rgb="FFFF0000"/>
        <rFont val="Times New Roman"/>
        <family val="1"/>
        <charset val="186"/>
      </rPr>
      <t xml:space="preserve">Atnaujinta želdynų </t>
    </r>
    <r>
      <rPr>
        <strike/>
        <sz val="10"/>
        <color rgb="FFFF0000"/>
        <rFont val="Times New Roman"/>
        <family val="1"/>
        <charset val="186"/>
      </rPr>
      <t>prie magistralinių</t>
    </r>
    <r>
      <rPr>
        <sz val="10"/>
        <color rgb="FFFF0000"/>
        <rFont val="Times New Roman"/>
        <family val="1"/>
        <charset val="186"/>
      </rPr>
      <t xml:space="preserve"> mieste </t>
    </r>
    <r>
      <rPr>
        <strike/>
        <sz val="10"/>
        <color rgb="FFFF0000"/>
        <rFont val="Times New Roman"/>
        <family val="1"/>
        <charset val="186"/>
      </rPr>
      <t>o gatvių</t>
    </r>
    <r>
      <rPr>
        <sz val="10"/>
        <color rgb="FFFF0000"/>
        <rFont val="Times New Roman"/>
        <family val="1"/>
        <charset val="186"/>
      </rPr>
      <t xml:space="preserve">, vnt. </t>
    </r>
  </si>
  <si>
    <t>Siūloma mažinti papriemonės finansinę apimtį 6,8 tūkst. Eur, kadangi Sakurų parko įrengimo darbai 2019 m. nebus pradėti dėl užsitęsusio techninio projekto rengimo. Nors techninis projektas parengtas, atlikta bendroji statinio ekspertizė, 2019-07-03 gautas bendrosios ekspertizės aktas. Procesas užtruko, kadangi prireikė gauti sutikimus iš gretimų sklypų savininkų, užtruko svarstymas Lietuvos kraštovaizdžio architektų sąjungoje  ir proceso metu ekspertai pareikalavo specialiosios dendrologinės ekspertizės, kuri nebuvo numatyta jokiuose dokumentuose. Infostatybos sistemoje pateiktas prašymas išduoti statybą leidžiantį dokumentą. Leidimas neišduotas, pateiktos pastabos, pagal kurias bus koreguojami projekto sprendiniai ir teikiama pakartotinai.</t>
  </si>
  <si>
    <t>40</t>
  </si>
  <si>
    <t>0</t>
  </si>
  <si>
    <t>4</t>
  </si>
  <si>
    <r>
      <rPr>
        <strike/>
        <sz val="10"/>
        <color rgb="FFFF0000"/>
        <rFont val="Times New Roman"/>
        <family val="1"/>
        <charset val="186"/>
      </rPr>
      <t xml:space="preserve">8 </t>
    </r>
    <r>
      <rPr>
        <sz val="10"/>
        <color rgb="FFFF0000"/>
        <rFont val="Times New Roman"/>
        <family val="1"/>
        <charset val="186"/>
      </rPr>
      <t xml:space="preserve">  4</t>
    </r>
  </si>
  <si>
    <t>Vykdant paslaugų sutartį, paaiškėjo, kad dėl asbesto turinčių atliekų sutvarkymo užsiregistravusių gyventojų buvo daugiau nei planuota, todėl išaugo lėšų poreikis. Siūloma planuoti papildomą finansavimą darbų užbaigimui, bei koreguoti produkto kriterijaus reikšmę (iš viso asbesto turinčių atliekų bus sutvarkyta 48 t)</t>
  </si>
  <si>
    <t>Siūloma patikslinti  produkto kriterijaus pavadinimą, nes rodiklis apima želdinių sodinimą ne tik prie magistralinių gatvių, bet ir viešose erdvėse, prie švietimo įstaigų</t>
  </si>
  <si>
    <t xml:space="preserve">Siūloma sumažinti papriemonės finansinę apimtį 2019 m., padidinti 2020 m. ir atitinkamai koreguoti vertinimo kriterijaus reikšmę, kadangi užtruko techninės dokumentacijos darbai ir viešasis rangos darbų pirkimas įvykdytas III k. Taip pat siūloma nežymiai didinti projekto bendrą finansinę vertę  dėl anksčiau nenumatytų papildomų darbų (esamų elektros kabelių apsaugos). </t>
  </si>
  <si>
    <t>Siūloma didinti priemonės finansinę apimtį 2019 m. Viešųjų pirkimų konkursas dėl kopagūbrio tvirtinimo darbų buvo skelbtas 2 kartus, tačiau pasiūlymų nepateikė nei vienas tiekėjas. Atlikus rinkos analizę bei žodinę tiekėjų apklausą, paaiškėjo, kad šiems darbams atlikti reikalinga didesnė suma nei buvo planuota (trūksta 6,8 tūkst. Eur)</t>
  </si>
  <si>
    <t>Siūloma mažinti projekto finansinę apimtį 2019 m., atitinkamai didinti 2020 m. ir koreguori vertinimo kriterijaus reikšmes. 2019 m. rugsėjo mėn. buvo įsigytos 4  gatvių valymo mašinos ir įvykdyti sutartiniai įsipareigojimai, tačiau likusias 4 šaligatvių ir gatvių valymo mašinas planuojama įsigyti 2020 m. vasario mėn. Sutartis, kurioje  nustatytas 6 mėnesių pristatymo terminas, buvo pasirašyta 2019 m. rugpjūčio mėn.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</si>
</sst>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409]General"/>
  </numFmts>
  <fonts count="39"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sz val="10"/>
      <name val="Arial"/>
      <family val="2"/>
      <charset val="186"/>
    </font>
    <font>
      <b/>
      <sz val="10"/>
      <name val="Times New Roman"/>
      <family val="1"/>
      <charset val="204"/>
    </font>
    <font>
      <sz val="10"/>
      <name val="Times New Roman"/>
      <family val="1"/>
      <charset val="204"/>
    </font>
    <font>
      <sz val="8"/>
      <name val="Times New Roman"/>
      <family val="1"/>
      <charset val="186"/>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sz val="10"/>
      <name val="Calibri"/>
      <family val="2"/>
      <charset val="186"/>
      <scheme val="minor"/>
    </font>
    <font>
      <i/>
      <sz val="10"/>
      <name val="Times New Roman"/>
      <family val="1"/>
      <charset val="186"/>
    </font>
    <font>
      <strike/>
      <sz val="10"/>
      <color rgb="FFFF0000"/>
      <name val="Times New Roman"/>
      <family val="1"/>
      <charset val="186"/>
    </font>
    <font>
      <b/>
      <i/>
      <sz val="10"/>
      <name val="Times New Roman"/>
      <family val="1"/>
      <charset val="186"/>
    </font>
    <font>
      <i/>
      <sz val="10"/>
      <name val="Arial"/>
      <family val="2"/>
      <charset val="186"/>
    </font>
    <font>
      <sz val="11"/>
      <color theme="1"/>
      <name val="Calibri"/>
      <family val="2"/>
      <charset val="186"/>
      <scheme val="minor"/>
    </font>
    <font>
      <b/>
      <sz val="10"/>
      <color theme="1"/>
      <name val="Times New Roman"/>
      <family val="1"/>
      <charset val="186"/>
    </font>
    <font>
      <sz val="12"/>
      <name val="Times New Roman"/>
      <family val="1"/>
      <charset val="186"/>
    </font>
    <font>
      <b/>
      <sz val="12"/>
      <name val="Times New Roman"/>
      <family val="1"/>
      <charset val="186"/>
    </font>
    <font>
      <sz val="10"/>
      <color theme="3"/>
      <name val="Times New Roman"/>
      <family val="1"/>
      <charset val="186"/>
    </font>
    <font>
      <i/>
      <sz val="10"/>
      <name val="Calibri"/>
      <family val="2"/>
      <charset val="186"/>
      <scheme val="minor"/>
    </font>
    <font>
      <sz val="11"/>
      <color rgb="FF000000"/>
      <name val="Calibri"/>
      <family val="2"/>
      <charset val="186"/>
    </font>
    <font>
      <sz val="11"/>
      <name val="Times New Roman"/>
      <family val="1"/>
      <charset val="186"/>
    </font>
    <font>
      <sz val="10"/>
      <color rgb="FFFF0000"/>
      <name val="Calibri"/>
      <family val="2"/>
      <charset val="186"/>
      <scheme val="minor"/>
    </font>
    <font>
      <sz val="9"/>
      <name val="Calibri"/>
      <family val="2"/>
      <charset val="186"/>
      <scheme val="minor"/>
    </font>
    <font>
      <sz val="9"/>
      <color theme="1"/>
      <name val="Calibri"/>
      <family val="2"/>
      <charset val="186"/>
      <scheme val="minor"/>
    </font>
    <font>
      <sz val="12"/>
      <color theme="1"/>
      <name val="Calibri"/>
      <family val="2"/>
      <charset val="186"/>
      <scheme val="minor"/>
    </font>
    <font>
      <sz val="10"/>
      <color rgb="FFFF0000"/>
      <name val="Times New Roman"/>
      <family val="1"/>
    </font>
    <font>
      <b/>
      <i/>
      <sz val="11"/>
      <color theme="1"/>
      <name val="Times New Roman"/>
      <family val="1"/>
      <charset val="186"/>
    </font>
    <font>
      <strike/>
      <sz val="10"/>
      <color rgb="FFFF0000"/>
      <name val="Calibri"/>
      <family val="2"/>
      <charset val="186"/>
      <scheme val="minor"/>
    </font>
    <font>
      <b/>
      <sz val="10"/>
      <color rgb="FFFF0000"/>
      <name val="Times New Roman"/>
      <family val="1"/>
      <charset val="186"/>
    </font>
    <font>
      <strike/>
      <sz val="10"/>
      <name val="Calibri"/>
      <family val="2"/>
      <charset val="186"/>
      <scheme val="minor"/>
    </font>
  </fonts>
  <fills count="10">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rgb="FFDBDBDB"/>
      </patternFill>
    </fill>
  </fills>
  <borders count="114">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top style="thin">
        <color indexed="64"/>
      </top>
      <bottom style="hair">
        <color indexed="64"/>
      </bottom>
      <diagonal/>
    </border>
    <border>
      <left/>
      <right/>
      <top style="medium">
        <color indexed="64"/>
      </top>
      <bottom style="hair">
        <color indexed="64"/>
      </bottom>
      <diagonal/>
    </border>
    <border>
      <left/>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s>
  <cellStyleXfs count="4">
    <xf numFmtId="0" fontId="0" fillId="0" borderId="0"/>
    <xf numFmtId="0" fontId="4" fillId="0" borderId="0"/>
    <xf numFmtId="43" fontId="22" fillId="0" borderId="0" applyFont="0" applyFill="0" applyBorder="0" applyAlignment="0" applyProtection="0"/>
    <xf numFmtId="165" fontId="28" fillId="0" borderId="0" applyBorder="0" applyProtection="0"/>
  </cellStyleXfs>
  <cellXfs count="1372">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4"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0" borderId="3" xfId="0" applyNumberFormat="1" applyFont="1" applyFill="1" applyBorder="1" applyAlignment="1">
      <alignment horizontal="center" vertical="top" wrapText="1"/>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5"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9" fillId="6" borderId="1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3" fontId="1" fillId="6" borderId="41" xfId="0" applyNumberFormat="1" applyFont="1" applyFill="1" applyBorder="1" applyAlignment="1">
      <alignment vertical="top" wrapText="1"/>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164" fontId="2" fillId="5" borderId="66"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9" fillId="6" borderId="14" xfId="0" applyNumberFormat="1" applyFont="1" applyFill="1" applyBorder="1" applyAlignment="1">
      <alignment horizontal="center" vertical="top"/>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4"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5"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4" xfId="0" applyNumberFormat="1" applyFont="1" applyFill="1" applyBorder="1" applyAlignment="1">
      <alignment vertical="top" wrapText="1"/>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164" fontId="1" fillId="6" borderId="15" xfId="0" applyNumberFormat="1" applyFont="1" applyFill="1" applyBorder="1" applyAlignment="1">
      <alignment horizontal="center" vertical="top" wrapText="1"/>
    </xf>
    <xf numFmtId="3" fontId="1" fillId="6" borderId="86"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1" fillId="6" borderId="12"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9" fillId="6" borderId="15" xfId="0" applyNumberFormat="1" applyFont="1" applyFill="1" applyBorder="1" applyAlignment="1">
      <alignment horizontal="center" vertical="top"/>
    </xf>
    <xf numFmtId="164" fontId="9" fillId="6" borderId="12"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0" xfId="0" applyNumberFormat="1" applyFont="1" applyFill="1" applyBorder="1" applyAlignment="1">
      <alignment horizontal="center" vertical="top"/>
    </xf>
    <xf numFmtId="3" fontId="1" fillId="6" borderId="87"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88" xfId="0" applyNumberFormat="1" applyFont="1" applyBorder="1" applyAlignment="1">
      <alignment horizontal="center" vertical="top"/>
    </xf>
    <xf numFmtId="3" fontId="1" fillId="0" borderId="91" xfId="0" applyNumberFormat="1" applyFont="1" applyFill="1" applyBorder="1" applyAlignment="1">
      <alignment horizontal="center" vertical="top"/>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2"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4" fontId="2" fillId="8" borderId="77"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49" fontId="2" fillId="6" borderId="36" xfId="0" applyNumberFormat="1" applyFont="1" applyFill="1" applyBorder="1" applyAlignment="1">
      <alignment horizontal="center" vertical="center"/>
    </xf>
    <xf numFmtId="164" fontId="1" fillId="6" borderId="61"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3" fontId="18" fillId="6" borderId="12" xfId="0" applyNumberFormat="1" applyFont="1" applyFill="1" applyBorder="1" applyAlignment="1">
      <alignment vertical="top" wrapText="1"/>
    </xf>
    <xf numFmtId="3" fontId="18" fillId="6" borderId="23" xfId="0" applyNumberFormat="1" applyFont="1" applyFill="1" applyBorder="1" applyAlignment="1">
      <alignment horizontal="left" vertical="top" wrapText="1"/>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 fillId="0" borderId="0" xfId="0" applyFont="1" applyFill="1" applyAlignment="1">
      <alignment vertical="top"/>
    </xf>
    <xf numFmtId="3" fontId="1" fillId="6" borderId="33"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9" fillId="6" borderId="96" xfId="0" applyNumberFormat="1" applyFont="1" applyFill="1" applyBorder="1" applyAlignment="1">
      <alignment vertical="top" wrapText="1"/>
    </xf>
    <xf numFmtId="3" fontId="1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0"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3" fontId="1" fillId="6" borderId="38" xfId="0" applyNumberFormat="1" applyFont="1" applyFill="1" applyBorder="1" applyAlignment="1">
      <alignment horizontal="center" vertical="top"/>
    </xf>
    <xf numFmtId="49" fontId="1" fillId="0" borderId="82" xfId="0" applyNumberFormat="1" applyFont="1" applyBorder="1" applyAlignment="1">
      <alignment horizontal="center" vertical="top"/>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3" fontId="1" fillId="6" borderId="72" xfId="0" applyNumberFormat="1" applyFont="1" applyFill="1" applyBorder="1" applyAlignment="1">
      <alignment horizontal="center" vertical="top" wrapText="1"/>
    </xf>
    <xf numFmtId="164" fontId="1" fillId="6" borderId="101" xfId="1"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18" fillId="8" borderId="1" xfId="0" applyNumberFormat="1" applyFont="1" applyFill="1" applyBorder="1" applyAlignment="1">
      <alignment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8" fillId="8" borderId="26" xfId="0" applyNumberFormat="1" applyFont="1" applyFill="1" applyBorder="1" applyAlignment="1">
      <alignment horizontal="left"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12" xfId="0" applyNumberFormat="1" applyFont="1" applyFill="1" applyBorder="1" applyAlignment="1">
      <alignment vertical="top"/>
    </xf>
    <xf numFmtId="3" fontId="2" fillId="8" borderId="1" xfId="0" applyNumberFormat="1" applyFont="1" applyFill="1" applyBorder="1" applyAlignment="1">
      <alignment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99" xfId="0" applyNumberFormat="1" applyFont="1" applyFill="1" applyBorder="1" applyAlignment="1">
      <alignment horizontal="center" vertical="top"/>
    </xf>
    <xf numFmtId="0" fontId="18" fillId="6" borderId="35" xfId="0" applyFont="1" applyFill="1" applyBorder="1" applyAlignment="1">
      <alignment horizontal="left" vertical="top" wrapText="1"/>
    </xf>
    <xf numFmtId="49" fontId="1" fillId="6" borderId="59" xfId="0" applyNumberFormat="1" applyFont="1" applyFill="1" applyBorder="1" applyAlignment="1">
      <alignment horizontal="center" vertical="top"/>
    </xf>
    <xf numFmtId="3" fontId="1" fillId="6" borderId="87"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1" fillId="6" borderId="36" xfId="0" applyNumberFormat="1" applyFont="1" applyFill="1" applyBorder="1" applyAlignment="1">
      <alignment horizontal="center" vertical="center" textRotation="90" wrapText="1"/>
    </xf>
    <xf numFmtId="164" fontId="2" fillId="8" borderId="12" xfId="0" applyNumberFormat="1" applyFont="1" applyFill="1" applyBorder="1" applyAlignment="1">
      <alignment horizontal="center" vertical="top"/>
    </xf>
    <xf numFmtId="164" fontId="14" fillId="6" borderId="11" xfId="0" applyNumberFormat="1" applyFont="1" applyFill="1" applyBorder="1" applyAlignment="1">
      <alignment vertical="top" wrapText="1"/>
    </xf>
    <xf numFmtId="3" fontId="14" fillId="6" borderId="13" xfId="0" applyNumberFormat="1" applyFont="1" applyFill="1" applyBorder="1" applyAlignment="1">
      <alignment horizontal="center" vertical="top" wrapText="1"/>
    </xf>
    <xf numFmtId="3" fontId="4" fillId="8" borderId="55"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center" wrapText="1"/>
    </xf>
    <xf numFmtId="3" fontId="9" fillId="6" borderId="70"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0" fontId="1" fillId="0" borderId="0" xfId="0" applyFont="1" applyAlignment="1">
      <alignment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3" fontId="1" fillId="6" borderId="4"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164" fontId="2" fillId="8" borderId="24" xfId="0" applyNumberFormat="1" applyFont="1" applyFill="1" applyBorder="1" applyAlignment="1">
      <alignment horizontal="center" vertical="top"/>
    </xf>
    <xf numFmtId="0" fontId="1" fillId="6" borderId="43" xfId="0" applyFont="1" applyFill="1" applyBorder="1" applyAlignment="1">
      <alignment horizontal="center" vertical="top" wrapText="1"/>
    </xf>
    <xf numFmtId="164" fontId="15" fillId="6" borderId="14" xfId="0" applyNumberFormat="1" applyFont="1" applyFill="1" applyBorder="1" applyAlignment="1">
      <alignment horizontal="center" vertical="top"/>
    </xf>
    <xf numFmtId="3" fontId="15" fillId="6" borderId="6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0" borderId="0" xfId="0" applyNumberFormat="1" applyFont="1" applyBorder="1" applyAlignment="1">
      <alignmen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49" fontId="2" fillId="6" borderId="58" xfId="0" applyNumberFormat="1" applyFont="1" applyFill="1" applyBorder="1" applyAlignment="1">
      <alignment vertical="top"/>
    </xf>
    <xf numFmtId="3" fontId="6"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3" fontId="2" fillId="6" borderId="13"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3" fontId="2" fillId="6" borderId="13" xfId="0" applyNumberFormat="1" applyFont="1" applyFill="1" applyBorder="1" applyAlignment="1">
      <alignment horizontal="left" vertical="top" wrapText="1"/>
    </xf>
    <xf numFmtId="3" fontId="1" fillId="6" borderId="95" xfId="0" applyNumberFormat="1" applyFont="1" applyFill="1" applyBorder="1" applyAlignment="1">
      <alignment horizontal="center" vertical="top"/>
    </xf>
    <xf numFmtId="3" fontId="1" fillId="6" borderId="98"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9" fillId="0" borderId="16" xfId="0" applyNumberFormat="1" applyFont="1" applyFill="1" applyBorder="1" applyAlignment="1">
      <alignment horizontal="center" vertical="top"/>
    </xf>
    <xf numFmtId="49" fontId="1" fillId="7" borderId="12" xfId="0" applyNumberFormat="1" applyFont="1" applyFill="1" applyBorder="1" applyAlignment="1">
      <alignment horizontal="center" vertical="top" wrapText="1"/>
    </xf>
    <xf numFmtId="3" fontId="2" fillId="8" borderId="46" xfId="0" applyNumberFormat="1" applyFont="1" applyFill="1" applyBorder="1" applyAlignment="1">
      <alignment horizontal="center" vertical="top"/>
    </xf>
    <xf numFmtId="3" fontId="2" fillId="8" borderId="28" xfId="0" applyNumberFormat="1" applyFont="1" applyFill="1" applyBorder="1" applyAlignment="1">
      <alignment horizontal="center" vertical="top"/>
    </xf>
    <xf numFmtId="164" fontId="9"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6" xfId="0" applyNumberFormat="1" applyFont="1" applyFill="1" applyBorder="1" applyAlignment="1">
      <alignment horizontal="center" vertical="top"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7" fillId="6" borderId="13" xfId="0" applyNumberFormat="1" applyFont="1" applyFill="1" applyBorder="1" applyAlignment="1">
      <alignment horizontal="center" vertical="center" textRotation="90" wrapText="1"/>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17"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17" fillId="0" borderId="24" xfId="0" applyNumberFormat="1" applyFont="1" applyBorder="1" applyAlignment="1">
      <alignment horizontal="center" vertical="top" textRotation="91" wrapText="1"/>
    </xf>
    <xf numFmtId="164" fontId="17" fillId="0" borderId="0" xfId="0" applyNumberFormat="1" applyFont="1"/>
    <xf numFmtId="0" fontId="17" fillId="0" borderId="0" xfId="0" applyFont="1"/>
    <xf numFmtId="3" fontId="1" fillId="6" borderId="104" xfId="0" applyNumberFormat="1" applyFont="1" applyFill="1" applyBorder="1" applyAlignment="1">
      <alignment vertical="top"/>
    </xf>
    <xf numFmtId="3" fontId="1" fillId="6" borderId="90"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164"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13" xfId="0" applyFont="1" applyFill="1" applyBorder="1" applyAlignment="1">
      <alignment horizontal="center" vertical="top" wrapText="1"/>
    </xf>
    <xf numFmtId="0" fontId="18" fillId="6" borderId="35" xfId="1" applyFont="1" applyFill="1" applyBorder="1" applyAlignment="1">
      <alignment vertical="top" wrapText="1"/>
    </xf>
    <xf numFmtId="0" fontId="1" fillId="6" borderId="59" xfId="0"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xf>
    <xf numFmtId="0" fontId="23" fillId="0" borderId="48" xfId="0" applyFont="1" applyBorder="1" applyAlignment="1">
      <alignment horizontal="center" vertical="center" wrapText="1"/>
    </xf>
    <xf numFmtId="3"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6" borderId="105"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3" fontId="1" fillId="6" borderId="3" xfId="0" applyNumberFormat="1" applyFont="1" applyFill="1" applyBorder="1" applyAlignment="1">
      <alignment vertical="center" textRotation="90"/>
    </xf>
    <xf numFmtId="3" fontId="1" fillId="6" borderId="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3" fontId="9" fillId="8" borderId="1" xfId="0" applyNumberFormat="1" applyFont="1" applyFill="1" applyBorder="1" applyAlignment="1">
      <alignment horizontal="left" vertical="top" wrapText="1"/>
    </xf>
    <xf numFmtId="3" fontId="4" fillId="8" borderId="27"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0" borderId="0" xfId="0" applyNumberFormat="1" applyFont="1" applyAlignment="1">
      <alignment horizontal="left" vertical="top" wrapText="1"/>
    </xf>
    <xf numFmtId="3" fontId="14" fillId="0" borderId="57" xfId="0" applyNumberFormat="1" applyFont="1" applyBorder="1" applyAlignment="1">
      <alignment vertical="top"/>
    </xf>
    <xf numFmtId="0" fontId="1" fillId="0" borderId="78" xfId="0" applyFont="1" applyBorder="1" applyAlignment="1">
      <alignment horizontal="center" vertical="center" textRotation="90" wrapText="1"/>
    </xf>
    <xf numFmtId="3" fontId="14"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0" xfId="0" applyNumberFormat="1" applyFont="1" applyFill="1" applyBorder="1" applyAlignment="1">
      <alignment vertical="top" wrapText="1"/>
    </xf>
    <xf numFmtId="0" fontId="1" fillId="6" borderId="72"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24"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164" fontId="1" fillId="6" borderId="3" xfId="0" applyNumberFormat="1" applyFont="1" applyFill="1" applyBorder="1" applyAlignment="1">
      <alignment horizontal="center" vertical="top"/>
    </xf>
    <xf numFmtId="164" fontId="2" fillId="5" borderId="63" xfId="0" applyNumberFormat="1" applyFont="1" applyFill="1" applyBorder="1" applyAlignment="1">
      <alignment horizontal="center" vertical="top"/>
    </xf>
    <xf numFmtId="164" fontId="15" fillId="6" borderId="0" xfId="0"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5" fillId="6" borderId="12" xfId="0" applyNumberFormat="1" applyFont="1" applyFill="1" applyBorder="1" applyAlignment="1">
      <alignment horizontal="center" vertical="top"/>
    </xf>
    <xf numFmtId="164" fontId="2" fillId="5" borderId="24" xfId="0" applyNumberFormat="1" applyFont="1" applyFill="1" applyBorder="1" applyAlignment="1">
      <alignment horizontal="center" vertical="top"/>
    </xf>
    <xf numFmtId="164" fontId="2" fillId="4" borderId="63" xfId="0" applyNumberFormat="1" applyFont="1" applyFill="1" applyBorder="1" applyAlignment="1">
      <alignment horizontal="center" vertical="top"/>
    </xf>
    <xf numFmtId="164" fontId="2" fillId="3" borderId="63"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14"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4" fontId="2" fillId="3" borderId="4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3" borderId="3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3" fontId="1" fillId="6" borderId="97" xfId="0" applyNumberFormat="1" applyFont="1" applyFill="1" applyBorder="1" applyAlignment="1">
      <alignment horizontal="left" vertical="top" wrapText="1"/>
    </xf>
    <xf numFmtId="0" fontId="1" fillId="6" borderId="97" xfId="0"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164" fontId="2" fillId="8" borderId="22" xfId="0" applyNumberFormat="1" applyFont="1" applyFill="1" applyBorder="1" applyAlignment="1">
      <alignment horizontal="center" vertical="top" wrapText="1"/>
    </xf>
    <xf numFmtId="164" fontId="2" fillId="5" borderId="65"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164" fontId="1" fillId="8" borderId="22"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0" fontId="1" fillId="6" borderId="42" xfId="0" applyFont="1" applyFill="1" applyBorder="1" applyAlignment="1">
      <alignment horizontal="left" vertical="top" wrapText="1"/>
    </xf>
    <xf numFmtId="3" fontId="5" fillId="6" borderId="3"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0" fontId="17" fillId="0" borderId="11" xfId="0" applyFont="1" applyBorder="1" applyAlignment="1">
      <alignment horizontal="left" vertical="top" wrapText="1"/>
    </xf>
    <xf numFmtId="3" fontId="2" fillId="6" borderId="12"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1" fillId="6" borderId="2"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164" fontId="2" fillId="3" borderId="8"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1" fillId="6" borderId="20"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xf>
    <xf numFmtId="0" fontId="13" fillId="0" borderId="0" xfId="0" applyFont="1" applyAlignment="1">
      <alignment wrapText="1"/>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center" wrapText="1"/>
    </xf>
    <xf numFmtId="3" fontId="1" fillId="6" borderId="21" xfId="0" applyNumberFormat="1" applyFont="1" applyFill="1" applyBorder="1" applyAlignment="1">
      <alignment horizontal="center" vertical="top" wrapText="1"/>
    </xf>
    <xf numFmtId="3" fontId="1" fillId="0" borderId="74" xfId="0" applyNumberFormat="1" applyFont="1" applyFill="1" applyBorder="1" applyAlignment="1">
      <alignment vertical="top" wrapText="1"/>
    </xf>
    <xf numFmtId="3" fontId="1" fillId="0" borderId="9" xfId="0" applyNumberFormat="1" applyFont="1" applyFill="1" applyBorder="1" applyAlignment="1">
      <alignment horizontal="center" vertical="top"/>
    </xf>
    <xf numFmtId="3" fontId="1" fillId="6" borderId="98" xfId="0" applyNumberFormat="1" applyFont="1" applyFill="1" applyBorder="1" applyAlignment="1">
      <alignment horizontal="center" vertical="top" wrapText="1"/>
    </xf>
    <xf numFmtId="3" fontId="1" fillId="7" borderId="61"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0" borderId="47"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wrapText="1"/>
    </xf>
    <xf numFmtId="3" fontId="1" fillId="6" borderId="44" xfId="0" applyNumberFormat="1" applyFont="1" applyFill="1" applyBorder="1" applyAlignment="1">
      <alignment horizontal="center" vertical="top" wrapText="1"/>
    </xf>
    <xf numFmtId="0" fontId="1" fillId="6" borderId="41" xfId="0" applyFont="1" applyFill="1" applyBorder="1" applyAlignment="1">
      <alignment horizontal="center" vertical="top" wrapText="1"/>
    </xf>
    <xf numFmtId="3" fontId="1" fillId="0" borderId="57" xfId="0" applyNumberFormat="1" applyFont="1" applyFill="1" applyBorder="1" applyAlignment="1">
      <alignment vertical="top" wrapText="1"/>
    </xf>
    <xf numFmtId="3" fontId="1" fillId="0" borderId="47" xfId="0" applyNumberFormat="1" applyFont="1" applyFill="1" applyBorder="1" applyAlignment="1">
      <alignment horizontal="left" vertical="top" wrapText="1"/>
    </xf>
    <xf numFmtId="164" fontId="1" fillId="6" borderId="37"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xf>
    <xf numFmtId="3" fontId="1" fillId="6" borderId="34"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18" fillId="6" borderId="35"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0" borderId="40" xfId="0" applyNumberFormat="1" applyFont="1" applyBorder="1" applyAlignment="1">
      <alignment horizontal="center" vertical="top"/>
    </xf>
    <xf numFmtId="164" fontId="1" fillId="6" borderId="93" xfId="0" applyNumberFormat="1" applyFont="1" applyFill="1" applyBorder="1" applyAlignment="1">
      <alignment horizontal="center" vertical="top"/>
    </xf>
    <xf numFmtId="3" fontId="1" fillId="0" borderId="16" xfId="0" applyNumberFormat="1" applyFont="1" applyBorder="1" applyAlignment="1">
      <alignment horizontal="center" vertical="top"/>
    </xf>
    <xf numFmtId="0" fontId="17" fillId="0" borderId="0" xfId="0" applyFont="1" applyAlignment="1">
      <alignment vertical="top"/>
    </xf>
    <xf numFmtId="3" fontId="1" fillId="0" borderId="49" xfId="0" applyNumberFormat="1" applyFont="1" applyFill="1" applyBorder="1" applyAlignment="1">
      <alignment horizontal="center" vertical="top" textRotation="90" wrapText="1"/>
    </xf>
    <xf numFmtId="3" fontId="1" fillId="0" borderId="48"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49" fontId="27" fillId="8" borderId="1" xfId="0" applyNumberFormat="1" applyFont="1" applyFill="1" applyBorder="1" applyAlignment="1">
      <alignment horizontal="center" vertical="top" textRotation="91" wrapText="1"/>
    </xf>
    <xf numFmtId="49" fontId="1" fillId="8" borderId="1" xfId="0" applyNumberFormat="1" applyFont="1" applyFill="1" applyBorder="1" applyAlignment="1">
      <alignment horizontal="center" vertical="top" textRotation="91" wrapText="1"/>
    </xf>
    <xf numFmtId="49" fontId="1" fillId="8" borderId="56" xfId="0" applyNumberFormat="1" applyFont="1" applyFill="1" applyBorder="1" applyAlignment="1">
      <alignment horizontal="center" vertical="top" textRotation="91" wrapText="1"/>
    </xf>
    <xf numFmtId="0" fontId="13" fillId="8" borderId="1" xfId="0" applyFont="1" applyFill="1" applyBorder="1" applyAlignment="1"/>
    <xf numFmtId="3" fontId="2" fillId="8" borderId="27" xfId="0" applyNumberFormat="1" applyFont="1" applyFill="1" applyBorder="1" applyAlignment="1">
      <alignment horizontal="right" vertical="top"/>
    </xf>
    <xf numFmtId="3" fontId="17" fillId="8" borderId="26" xfId="0" applyNumberFormat="1" applyFont="1" applyFill="1" applyBorder="1" applyAlignment="1">
      <alignment vertical="top" wrapText="1"/>
    </xf>
    <xf numFmtId="49" fontId="27" fillId="8" borderId="55" xfId="0" applyNumberFormat="1" applyFont="1" applyFill="1" applyBorder="1" applyAlignment="1">
      <alignment horizontal="center" vertical="top" textRotation="91" wrapText="1"/>
    </xf>
    <xf numFmtId="49" fontId="1" fillId="8" borderId="55" xfId="0" applyNumberFormat="1" applyFont="1" applyFill="1" applyBorder="1" applyAlignment="1">
      <alignment horizontal="center" vertical="top" textRotation="91" wrapText="1"/>
    </xf>
    <xf numFmtId="3" fontId="1" fillId="6" borderId="49" xfId="0" applyNumberFormat="1" applyFont="1" applyFill="1" applyBorder="1" applyAlignment="1">
      <alignment vertical="center" textRotation="90"/>
    </xf>
    <xf numFmtId="3" fontId="17" fillId="6" borderId="36" xfId="0" applyNumberFormat="1" applyFont="1" applyFill="1" applyBorder="1" applyAlignment="1">
      <alignment vertical="top" wrapText="1"/>
    </xf>
    <xf numFmtId="3" fontId="1" fillId="6" borderId="16" xfId="1" applyNumberFormat="1" applyFont="1" applyFill="1" applyBorder="1" applyAlignment="1">
      <alignment horizontal="center" vertical="top"/>
    </xf>
    <xf numFmtId="0" fontId="2" fillId="0" borderId="33" xfId="0" applyFont="1" applyFill="1" applyBorder="1" applyAlignment="1">
      <alignment horizontal="center" vertical="center" wrapText="1"/>
    </xf>
    <xf numFmtId="0" fontId="13" fillId="8" borderId="26" xfId="0" applyFont="1" applyFill="1" applyBorder="1" applyAlignment="1">
      <alignment vertical="top"/>
    </xf>
    <xf numFmtId="0" fontId="13" fillId="0" borderId="0" xfId="0" applyFont="1" applyAlignment="1"/>
    <xf numFmtId="0" fontId="13" fillId="8" borderId="1" xfId="0" applyFont="1" applyFill="1" applyBorder="1" applyAlignment="1">
      <alignment vertical="top"/>
    </xf>
    <xf numFmtId="3" fontId="1" fillId="8" borderId="1"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xf>
    <xf numFmtId="3" fontId="1" fillId="0" borderId="70" xfId="0" applyNumberFormat="1" applyFont="1" applyBorder="1" applyAlignment="1">
      <alignment horizontal="center" vertical="top" wrapText="1"/>
    </xf>
    <xf numFmtId="0" fontId="13" fillId="8" borderId="27" xfId="0" applyFont="1" applyFill="1" applyBorder="1" applyAlignment="1">
      <alignment vertical="top"/>
    </xf>
    <xf numFmtId="0" fontId="13" fillId="6" borderId="16" xfId="0" applyFont="1" applyFill="1" applyBorder="1" applyAlignment="1">
      <alignment horizontal="center" vertical="top" wrapText="1"/>
    </xf>
    <xf numFmtId="0" fontId="1" fillId="6" borderId="94" xfId="0" applyFont="1" applyFill="1" applyBorder="1" applyAlignment="1">
      <alignment horizontal="left" vertical="top" wrapText="1"/>
    </xf>
    <xf numFmtId="0" fontId="1" fillId="6" borderId="54" xfId="0" applyFont="1" applyFill="1" applyBorder="1" applyAlignment="1">
      <alignment horizontal="left" vertical="top" wrapText="1"/>
    </xf>
    <xf numFmtId="164" fontId="2" fillId="3" borderId="48" xfId="0" applyNumberFormat="1" applyFont="1" applyFill="1" applyBorder="1" applyAlignment="1">
      <alignment horizontal="center" vertical="top" wrapText="1"/>
    </xf>
    <xf numFmtId="49" fontId="2" fillId="6" borderId="25"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0" fontId="13" fillId="0" borderId="0" xfId="0" applyFont="1" applyAlignment="1">
      <alignment horizontal="left" vertical="top" wrapText="1"/>
    </xf>
    <xf numFmtId="3" fontId="1" fillId="6" borderId="3" xfId="0" applyNumberFormat="1" applyFont="1" applyFill="1" applyBorder="1" applyAlignment="1">
      <alignment horizontal="center" vertical="top" textRotation="90" wrapText="1"/>
    </xf>
    <xf numFmtId="3" fontId="1" fillId="6" borderId="12" xfId="0" applyNumberFormat="1" applyFont="1" applyFill="1" applyBorder="1" applyAlignment="1">
      <alignment horizontal="center" vertical="top" textRotation="90" wrapText="1"/>
    </xf>
    <xf numFmtId="3" fontId="1" fillId="0" borderId="15" xfId="0" applyNumberFormat="1" applyFont="1" applyBorder="1" applyAlignment="1">
      <alignment horizontal="center" wrapText="1"/>
    </xf>
    <xf numFmtId="3" fontId="6" fillId="0" borderId="10" xfId="0" applyNumberFormat="1" applyFont="1" applyBorder="1" applyAlignment="1">
      <alignment horizontal="center" vertical="top" wrapText="1"/>
    </xf>
    <xf numFmtId="3" fontId="6" fillId="6" borderId="0" xfId="0" applyNumberFormat="1" applyFont="1" applyFill="1" applyBorder="1" applyAlignment="1">
      <alignment horizontal="center" vertical="top" wrapText="1"/>
    </xf>
    <xf numFmtId="3" fontId="5" fillId="0" borderId="57" xfId="0" applyNumberFormat="1" applyFont="1" applyBorder="1" applyAlignment="1">
      <alignment horizontal="center" vertical="top"/>
    </xf>
    <xf numFmtId="0" fontId="17" fillId="6" borderId="15" xfId="0" applyFont="1" applyFill="1" applyBorder="1" applyAlignment="1">
      <alignment horizontal="center" vertical="center" wrapText="1"/>
    </xf>
    <xf numFmtId="0" fontId="17" fillId="6" borderId="60" xfId="0" applyFont="1" applyFill="1" applyBorder="1" applyAlignment="1">
      <alignment horizontal="center" vertical="center" wrapText="1"/>
    </xf>
    <xf numFmtId="3" fontId="1" fillId="6" borderId="10"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center" wrapText="1"/>
    </xf>
    <xf numFmtId="3" fontId="17" fillId="6" borderId="60" xfId="0" applyNumberFormat="1" applyFont="1" applyFill="1" applyBorder="1" applyAlignment="1">
      <alignment horizontal="center" vertical="center" wrapText="1"/>
    </xf>
    <xf numFmtId="49" fontId="1" fillId="6" borderId="15" xfId="0" applyNumberFormat="1" applyFont="1" applyFill="1" applyBorder="1" applyAlignment="1">
      <alignment horizontal="center" vertical="center" wrapText="1"/>
    </xf>
    <xf numFmtId="0" fontId="13" fillId="6" borderId="60" xfId="0" applyFont="1" applyFill="1" applyBorder="1" applyAlignment="1">
      <alignment horizontal="center" vertical="top" wrapText="1"/>
    </xf>
    <xf numFmtId="3" fontId="2" fillId="6" borderId="47"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8" fillId="8" borderId="27" xfId="0" applyNumberFormat="1" applyFont="1" applyFill="1" applyBorder="1" applyAlignment="1">
      <alignment horizontal="center" vertical="top"/>
    </xf>
    <xf numFmtId="3" fontId="2" fillId="0" borderId="47" xfId="0" applyNumberFormat="1" applyFont="1" applyBorder="1" applyAlignment="1">
      <alignment horizontal="center" vertical="top"/>
    </xf>
    <xf numFmtId="49" fontId="2" fillId="6" borderId="37" xfId="0" applyNumberFormat="1" applyFont="1" applyFill="1" applyBorder="1" applyAlignment="1">
      <alignment horizontal="center" vertical="top" wrapText="1"/>
    </xf>
    <xf numFmtId="0" fontId="1" fillId="6" borderId="11" xfId="0" applyFont="1" applyFill="1" applyBorder="1" applyAlignment="1">
      <alignment vertical="top" wrapText="1"/>
    </xf>
    <xf numFmtId="0" fontId="2" fillId="6" borderId="12" xfId="0" applyFont="1" applyFill="1" applyBorder="1" applyAlignment="1">
      <alignment horizontal="center" vertical="center"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49" fontId="2" fillId="8" borderId="12" xfId="0" applyNumberFormat="1" applyFont="1" applyFill="1" applyBorder="1" applyAlignment="1">
      <alignment horizontal="center" vertical="top"/>
    </xf>
    <xf numFmtId="3" fontId="18" fillId="6" borderId="24" xfId="0" applyNumberFormat="1" applyFont="1" applyFill="1" applyBorder="1" applyAlignment="1">
      <alignment horizontal="center" vertical="top" wrapText="1"/>
    </xf>
    <xf numFmtId="3" fontId="20" fillId="6" borderId="29" xfId="0" applyNumberFormat="1" applyFont="1" applyFill="1" applyBorder="1" applyAlignment="1">
      <alignment horizontal="center" vertical="top"/>
    </xf>
    <xf numFmtId="49" fontId="1" fillId="6" borderId="76" xfId="0" applyNumberFormat="1" applyFont="1" applyFill="1" applyBorder="1" applyAlignment="1">
      <alignment horizontal="center" vertical="top"/>
    </xf>
    <xf numFmtId="49" fontId="1" fillId="6" borderId="74" xfId="0" applyNumberFormat="1" applyFont="1" applyFill="1" applyBorder="1" applyAlignment="1">
      <alignment horizontal="center" vertical="top"/>
    </xf>
    <xf numFmtId="49" fontId="1" fillId="6" borderId="57" xfId="0" applyNumberFormat="1" applyFont="1" applyFill="1" applyBorder="1" applyAlignment="1">
      <alignment horizontal="center" vertical="top"/>
    </xf>
    <xf numFmtId="0" fontId="1" fillId="6" borderId="104" xfId="0" applyFont="1" applyFill="1" applyBorder="1" applyAlignment="1">
      <alignment vertical="top" wrapText="1"/>
    </xf>
    <xf numFmtId="0" fontId="18" fillId="6" borderId="42" xfId="0" applyFont="1" applyFill="1" applyBorder="1" applyAlignment="1">
      <alignmen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38" xfId="0" applyNumberFormat="1" applyFont="1" applyFill="1" applyBorder="1" applyAlignment="1">
      <alignment vertical="top" wrapText="1"/>
    </xf>
    <xf numFmtId="49"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2" fillId="6" borderId="36"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49" fontId="1" fillId="6" borderId="15" xfId="0" applyNumberFormat="1" applyFont="1" applyFill="1" applyBorder="1" applyAlignment="1">
      <alignment horizontal="center" vertical="center" wrapText="1"/>
    </xf>
    <xf numFmtId="3" fontId="1" fillId="6" borderId="17"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6" fillId="6" borderId="36" xfId="0" applyNumberFormat="1" applyFont="1" applyFill="1" applyBorder="1" applyAlignment="1">
      <alignment vertical="top" wrapText="1"/>
    </xf>
    <xf numFmtId="164" fontId="13" fillId="0" borderId="0" xfId="0" applyNumberFormat="1" applyFont="1" applyAlignment="1">
      <alignment horizontal="left" vertical="top" wrapText="1"/>
    </xf>
    <xf numFmtId="49" fontId="1" fillId="7" borderId="43" xfId="0" applyNumberFormat="1" applyFont="1" applyFill="1" applyBorder="1" applyAlignment="1">
      <alignment horizontal="center" vertical="top" wrapText="1"/>
    </xf>
    <xf numFmtId="49" fontId="17" fillId="0" borderId="24" xfId="0" applyNumberFormat="1" applyFont="1" applyBorder="1" applyAlignment="1">
      <alignment horizontal="center" vertical="top" wrapText="1"/>
    </xf>
    <xf numFmtId="49" fontId="17" fillId="0" borderId="29" xfId="0" applyNumberFormat="1" applyFont="1" applyBorder="1" applyAlignment="1">
      <alignment horizontal="center" vertical="top" wrapText="1"/>
    </xf>
    <xf numFmtId="164" fontId="1" fillId="0" borderId="0" xfId="0" applyNumberFormat="1" applyFont="1" applyFill="1" applyAlignment="1">
      <alignment vertical="top"/>
    </xf>
    <xf numFmtId="164" fontId="15" fillId="6" borderId="52" xfId="0" applyNumberFormat="1" applyFont="1" applyFill="1" applyBorder="1" applyAlignment="1">
      <alignment horizontal="center" vertical="top"/>
    </xf>
    <xf numFmtId="0" fontId="13" fillId="6" borderId="13" xfId="0" applyFont="1" applyFill="1" applyBorder="1" applyAlignment="1">
      <alignment horizontal="center" vertical="center" textRotation="90" wrapText="1"/>
    </xf>
    <xf numFmtId="3" fontId="2" fillId="6" borderId="38" xfId="0" applyNumberFormat="1" applyFont="1" applyFill="1" applyBorder="1" applyAlignment="1">
      <alignment horizontal="center" vertical="top" wrapText="1"/>
    </xf>
    <xf numFmtId="3" fontId="1" fillId="6" borderId="59" xfId="0" applyNumberFormat="1" applyFont="1" applyFill="1" applyBorder="1" applyAlignment="1">
      <alignment vertical="top" wrapText="1"/>
    </xf>
    <xf numFmtId="3" fontId="1" fillId="6" borderId="10" xfId="0" applyNumberFormat="1" applyFont="1" applyFill="1" applyBorder="1" applyAlignment="1">
      <alignment horizontal="center" vertical="top"/>
    </xf>
    <xf numFmtId="3" fontId="1" fillId="6" borderId="70" xfId="0" applyNumberFormat="1" applyFont="1" applyFill="1" applyBorder="1" applyAlignment="1">
      <alignment horizontal="center" vertical="top" wrapText="1"/>
    </xf>
    <xf numFmtId="49" fontId="1" fillId="6" borderId="41"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wrapText="1"/>
    </xf>
    <xf numFmtId="49" fontId="1" fillId="6" borderId="59" xfId="0" applyNumberFormat="1" applyFont="1" applyFill="1" applyBorder="1" applyAlignment="1">
      <alignment horizontal="center" vertical="top" wrapText="1"/>
    </xf>
    <xf numFmtId="49" fontId="1" fillId="6" borderId="36" xfId="0" applyNumberFormat="1" applyFont="1" applyFill="1" applyBorder="1" applyAlignment="1">
      <alignment horizontal="center" vertical="top" wrapText="1"/>
    </xf>
    <xf numFmtId="49" fontId="1" fillId="6" borderId="6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wrapText="1"/>
    </xf>
    <xf numFmtId="3" fontId="1" fillId="6" borderId="107"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0" fontId="2" fillId="0" borderId="12" xfId="0" applyFont="1" applyFill="1" applyBorder="1" applyAlignment="1">
      <alignment horizontal="center" vertical="center" wrapText="1"/>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6"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0" fillId="6" borderId="3"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xf>
    <xf numFmtId="164" fontId="2" fillId="6" borderId="16"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15" fillId="6" borderId="42" xfId="0" applyNumberFormat="1" applyFont="1" applyFill="1" applyBorder="1" applyAlignment="1">
      <alignment horizontal="center" vertical="top"/>
    </xf>
    <xf numFmtId="3" fontId="15" fillId="0" borderId="0" xfId="0" applyNumberFormat="1" applyFont="1" applyBorder="1" applyAlignment="1">
      <alignment vertical="top"/>
    </xf>
    <xf numFmtId="49"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6"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0" fontId="1" fillId="6" borderId="17"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49" fontId="2" fillId="5" borderId="13" xfId="0" applyNumberFormat="1" applyFont="1" applyFill="1" applyBorder="1" applyAlignment="1">
      <alignment horizontal="center" vertical="top"/>
    </xf>
    <xf numFmtId="0" fontId="1" fillId="6" borderId="58" xfId="0" applyFont="1" applyFill="1" applyBorder="1" applyAlignment="1">
      <alignment horizontal="center" vertical="center" textRotation="90" wrapText="1"/>
    </xf>
    <xf numFmtId="3" fontId="15" fillId="6" borderId="72" xfId="0" applyNumberFormat="1" applyFont="1" applyFill="1" applyBorder="1" applyAlignment="1">
      <alignment horizontal="center" vertical="top" wrapText="1"/>
    </xf>
    <xf numFmtId="49" fontId="2" fillId="8" borderId="13" xfId="0" applyNumberFormat="1" applyFont="1" applyFill="1" applyBorder="1" applyAlignment="1">
      <alignment horizontal="center" vertical="top"/>
    </xf>
    <xf numFmtId="49" fontId="2" fillId="4" borderId="14"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0" fontId="1" fillId="0" borderId="52" xfId="0" applyFont="1" applyFill="1" applyBorder="1" applyAlignment="1">
      <alignment horizontal="center" vertical="top" wrapText="1"/>
    </xf>
    <xf numFmtId="0" fontId="1" fillId="6" borderId="71" xfId="0" applyFont="1" applyFill="1" applyBorder="1" applyAlignment="1">
      <alignment horizontal="center" vertical="center" textRotation="90" wrapText="1"/>
    </xf>
    <xf numFmtId="0" fontId="1" fillId="6" borderId="53" xfId="0" applyFont="1" applyFill="1" applyBorder="1" applyAlignment="1">
      <alignment horizontal="center" vertical="center" textRotation="90" wrapText="1"/>
    </xf>
    <xf numFmtId="164" fontId="1" fillId="6" borderId="1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wrapText="1"/>
    </xf>
    <xf numFmtId="0" fontId="30" fillId="0" borderId="0" xfId="0" applyFont="1" applyFill="1" applyAlignment="1">
      <alignment vertical="top"/>
    </xf>
    <xf numFmtId="164" fontId="1" fillId="6" borderId="101" xfId="0" applyNumberFormat="1" applyFont="1" applyFill="1" applyBorder="1" applyAlignment="1">
      <alignment horizontal="center" vertical="top"/>
    </xf>
    <xf numFmtId="0" fontId="1" fillId="6" borderId="80" xfId="0" applyFont="1" applyFill="1" applyBorder="1" applyAlignment="1">
      <alignment horizontal="center" vertical="top" wrapText="1"/>
    </xf>
    <xf numFmtId="0" fontId="1" fillId="6" borderId="73" xfId="0" applyFont="1" applyFill="1" applyBorder="1" applyAlignment="1">
      <alignment horizontal="center" vertical="top" wrapText="1"/>
    </xf>
    <xf numFmtId="0" fontId="1" fillId="6" borderId="75" xfId="0" applyFont="1" applyFill="1" applyBorder="1" applyAlignment="1">
      <alignment horizontal="center" vertical="top" wrapText="1"/>
    </xf>
    <xf numFmtId="0" fontId="17" fillId="0" borderId="0" xfId="0" applyFont="1" applyFill="1" applyAlignment="1">
      <alignment vertical="top"/>
    </xf>
    <xf numFmtId="3" fontId="2" fillId="4" borderId="11"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1" fillId="6" borderId="60"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0" xfId="0" applyNumberFormat="1" applyFont="1" applyFill="1" applyAlignment="1">
      <alignment horizontal="center" vertical="top"/>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164" fontId="1" fillId="6" borderId="96"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5"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0" fontId="13" fillId="0" borderId="0" xfId="0" applyFont="1" applyAlignment="1">
      <alignment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164"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 fillId="6" borderId="2" xfId="0" applyNumberFormat="1" applyFont="1" applyFill="1" applyBorder="1" applyAlignment="1">
      <alignment horizontal="left"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1" fillId="6" borderId="23" xfId="0" applyNumberFormat="1" applyFont="1" applyFill="1" applyBorder="1" applyAlignment="1">
      <alignment horizontal="left" vertical="top" wrapText="1"/>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8" fillId="6" borderId="12" xfId="0" applyNumberFormat="1" applyFont="1" applyFill="1" applyBorder="1" applyAlignment="1">
      <alignment vertical="top" wrapText="1"/>
    </xf>
    <xf numFmtId="0" fontId="17" fillId="0" borderId="11" xfId="0" applyFont="1" applyBorder="1" applyAlignment="1">
      <alignment horizontal="left" vertical="top" wrapText="1"/>
    </xf>
    <xf numFmtId="0" fontId="13" fillId="0" borderId="0" xfId="0" applyFont="1" applyAlignment="1">
      <alignment vertical="top"/>
    </xf>
    <xf numFmtId="3" fontId="6" fillId="6" borderId="38"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13" fillId="0" borderId="0" xfId="0" applyFont="1" applyAlignment="1">
      <alignmen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0" fontId="1" fillId="6" borderId="14" xfId="0"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0" borderId="70" xfId="0" applyNumberFormat="1" applyFont="1" applyBorder="1" applyAlignment="1">
      <alignment horizontal="center" vertical="top"/>
    </xf>
    <xf numFmtId="3" fontId="5" fillId="6" borderId="57" xfId="0" applyNumberFormat="1" applyFont="1" applyFill="1" applyBorder="1" applyAlignment="1">
      <alignment horizontal="center" vertical="top"/>
    </xf>
    <xf numFmtId="164" fontId="9" fillId="6" borderId="7" xfId="0" applyNumberFormat="1" applyFont="1" applyFill="1" applyBorder="1" applyAlignment="1">
      <alignment horizontal="center" vertical="top"/>
    </xf>
    <xf numFmtId="3" fontId="18" fillId="6" borderId="24" xfId="0" applyNumberFormat="1" applyFont="1" applyFill="1" applyBorder="1" applyAlignment="1">
      <alignment vertical="top" wrapText="1"/>
    </xf>
    <xf numFmtId="3" fontId="2" fillId="6" borderId="27" xfId="0" applyNumberFormat="1" applyFont="1" applyFill="1" applyBorder="1" applyAlignment="1">
      <alignment horizontal="center" vertical="top"/>
    </xf>
    <xf numFmtId="0" fontId="1" fillId="0" borderId="38" xfId="0" applyFont="1" applyFill="1" applyBorder="1" applyAlignment="1">
      <alignment vertical="top" wrapText="1"/>
    </xf>
    <xf numFmtId="0" fontId="1" fillId="6" borderId="103" xfId="0" applyFont="1" applyFill="1" applyBorder="1" applyAlignment="1">
      <alignment vertical="top" wrapText="1"/>
    </xf>
    <xf numFmtId="3" fontId="1" fillId="6" borderId="85"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8" fillId="6" borderId="75" xfId="0" applyNumberFormat="1" applyFont="1" applyFill="1" applyBorder="1" applyAlignment="1">
      <alignment horizontal="center" vertical="top"/>
    </xf>
    <xf numFmtId="3" fontId="1" fillId="6" borderId="100" xfId="0" applyNumberFormat="1" applyFont="1" applyFill="1" applyBorder="1" applyAlignment="1">
      <alignment horizontal="center" vertical="top" wrapText="1"/>
    </xf>
    <xf numFmtId="3" fontId="1" fillId="6" borderId="96" xfId="1" applyNumberFormat="1" applyFont="1" applyFill="1" applyBorder="1" applyAlignment="1">
      <alignment horizontal="center" vertical="top"/>
    </xf>
    <xf numFmtId="0" fontId="1" fillId="6" borderId="96" xfId="0" applyFont="1" applyFill="1" applyBorder="1" applyAlignment="1">
      <alignment vertical="top" wrapText="1"/>
    </xf>
    <xf numFmtId="165" fontId="1" fillId="9" borderId="11" xfId="3" applyFont="1" applyFill="1" applyBorder="1" applyAlignment="1">
      <alignment horizontal="left" vertical="top" wrapText="1"/>
    </xf>
    <xf numFmtId="3" fontId="1" fillId="6" borderId="12" xfId="0" applyNumberFormat="1" applyFont="1" applyFill="1" applyBorder="1" applyAlignment="1">
      <alignment horizontal="left" vertical="top" wrapText="1"/>
    </xf>
    <xf numFmtId="0" fontId="1" fillId="6" borderId="17" xfId="0"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center" textRotation="90"/>
    </xf>
    <xf numFmtId="164" fontId="1" fillId="6" borderId="0" xfId="1" applyNumberFormat="1" applyFont="1" applyFill="1" applyBorder="1" applyAlignment="1">
      <alignment horizontal="center" vertical="top" wrapText="1"/>
    </xf>
    <xf numFmtId="49" fontId="2" fillId="6" borderId="33" xfId="0" applyNumberFormat="1" applyFont="1" applyFill="1" applyBorder="1" applyAlignment="1">
      <alignment horizontal="center" vertical="center"/>
    </xf>
    <xf numFmtId="3" fontId="1" fillId="0" borderId="72" xfId="0" applyNumberFormat="1" applyFont="1" applyBorder="1" applyAlignment="1">
      <alignment vertical="top"/>
    </xf>
    <xf numFmtId="3" fontId="1" fillId="0" borderId="70" xfId="0" applyNumberFormat="1" applyFont="1" applyBorder="1" applyAlignment="1">
      <alignment vertical="top"/>
    </xf>
    <xf numFmtId="0" fontId="1" fillId="0" borderId="69" xfId="0" applyFont="1" applyFill="1" applyBorder="1" applyAlignment="1">
      <alignment vertical="top" wrapText="1"/>
    </xf>
    <xf numFmtId="3" fontId="1" fillId="6" borderId="14" xfId="0" applyNumberFormat="1" applyFont="1" applyFill="1" applyBorder="1" applyAlignment="1">
      <alignment horizontal="left" wrapText="1"/>
    </xf>
    <xf numFmtId="3" fontId="8" fillId="6" borderId="108" xfId="0" applyNumberFormat="1" applyFont="1" applyFill="1" applyBorder="1" applyAlignment="1">
      <alignment horizontal="center" vertical="top"/>
    </xf>
    <xf numFmtId="3" fontId="1" fillId="6" borderId="109" xfId="1" applyNumberFormat="1" applyFont="1" applyFill="1" applyBorder="1" applyAlignment="1">
      <alignment horizontal="center" vertical="top"/>
    </xf>
    <xf numFmtId="164" fontId="1" fillId="6" borderId="109" xfId="1" applyNumberFormat="1" applyFont="1" applyFill="1" applyBorder="1" applyAlignment="1">
      <alignment horizontal="center" vertical="top"/>
    </xf>
    <xf numFmtId="164" fontId="1" fillId="6" borderId="110" xfId="0" applyNumberFormat="1" applyFont="1" applyFill="1" applyBorder="1" applyAlignment="1">
      <alignment horizontal="center" vertical="top"/>
    </xf>
    <xf numFmtId="3" fontId="2" fillId="6" borderId="90" xfId="0" applyNumberFormat="1" applyFont="1" applyFill="1" applyBorder="1" applyAlignment="1">
      <alignment horizontal="center" vertical="top"/>
    </xf>
    <xf numFmtId="3" fontId="1" fillId="6" borderId="111" xfId="1" applyNumberFormat="1" applyFont="1" applyFill="1" applyBorder="1" applyAlignment="1">
      <alignment horizontal="center" vertical="top"/>
    </xf>
    <xf numFmtId="164" fontId="1" fillId="6" borderId="111" xfId="0" applyNumberFormat="1" applyFont="1" applyFill="1" applyBorder="1" applyAlignment="1">
      <alignment horizontal="center" vertical="top"/>
    </xf>
    <xf numFmtId="3" fontId="2" fillId="6" borderId="75"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164" fontId="26" fillId="6" borderId="104" xfId="1" applyNumberFormat="1" applyFont="1" applyFill="1" applyBorder="1" applyAlignment="1">
      <alignment horizontal="center" vertical="top"/>
    </xf>
    <xf numFmtId="164" fontId="1" fillId="6" borderId="96" xfId="1" applyNumberFormat="1" applyFont="1" applyFill="1" applyBorder="1" applyAlignment="1">
      <alignment horizontal="center" vertical="top" wrapText="1"/>
    </xf>
    <xf numFmtId="164" fontId="26" fillId="6" borderId="0" xfId="1" applyNumberFormat="1" applyFont="1" applyFill="1" applyBorder="1" applyAlignment="1">
      <alignment horizontal="center" vertical="top"/>
    </xf>
    <xf numFmtId="164" fontId="1" fillId="6" borderId="112" xfId="0" applyNumberFormat="1" applyFont="1" applyFill="1" applyBorder="1" applyAlignment="1">
      <alignment horizontal="center" vertical="top"/>
    </xf>
    <xf numFmtId="164" fontId="1" fillId="6" borderId="113" xfId="0" applyNumberFormat="1" applyFont="1" applyFill="1" applyBorder="1" applyAlignment="1">
      <alignment horizontal="center" vertical="top"/>
    </xf>
    <xf numFmtId="164" fontId="1" fillId="6" borderId="16" xfId="1" applyNumberFormat="1" applyFont="1" applyFill="1" applyBorder="1" applyAlignment="1">
      <alignment horizontal="center" vertical="top" wrapText="1"/>
    </xf>
    <xf numFmtId="164" fontId="15"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2" fillId="6" borderId="57" xfId="0" applyNumberFormat="1" applyFont="1" applyFill="1" applyBorder="1" applyAlignment="1">
      <alignment horizontal="center" vertical="top"/>
    </xf>
    <xf numFmtId="0" fontId="13" fillId="0" borderId="24" xfId="0" applyFont="1" applyBorder="1" applyAlignment="1">
      <alignment vertical="top" wrapText="1"/>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49" fontId="1" fillId="0" borderId="0" xfId="0" applyNumberFormat="1" applyFont="1" applyFill="1" applyAlignment="1">
      <alignment vertical="top"/>
    </xf>
    <xf numFmtId="3" fontId="1" fillId="6" borderId="101" xfId="0" applyNumberFormat="1" applyFont="1" applyFill="1" applyBorder="1" applyAlignment="1">
      <alignment horizontal="center" vertical="top"/>
    </xf>
    <xf numFmtId="3" fontId="6" fillId="6" borderId="12" xfId="0" applyNumberFormat="1" applyFont="1" applyFill="1" applyBorder="1" applyAlignment="1">
      <alignment vertical="top" wrapText="1"/>
    </xf>
    <xf numFmtId="0" fontId="1" fillId="6" borderId="97" xfId="1" applyFont="1" applyFill="1" applyBorder="1" applyAlignment="1">
      <alignment vertical="top" wrapText="1"/>
    </xf>
    <xf numFmtId="0" fontId="1" fillId="6" borderId="14" xfId="0" applyFont="1" applyFill="1" applyBorder="1" applyAlignment="1">
      <alignment vertical="top" wrapText="1"/>
    </xf>
    <xf numFmtId="0" fontId="1" fillId="6" borderId="39" xfId="1" applyFont="1" applyFill="1" applyBorder="1" applyAlignment="1">
      <alignment vertical="top" wrapText="1"/>
    </xf>
    <xf numFmtId="0" fontId="1" fillId="6" borderId="82" xfId="0" applyFont="1" applyFill="1" applyBorder="1" applyAlignment="1">
      <alignment horizontal="center" vertical="top" wrapText="1"/>
    </xf>
    <xf numFmtId="0" fontId="1" fillId="6" borderId="88" xfId="0"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4" fontId="13" fillId="0" borderId="0" xfId="0" applyNumberFormat="1" applyFont="1" applyAlignment="1">
      <alignment horizontal="left" vertical="top" wrapText="1"/>
    </xf>
    <xf numFmtId="3" fontId="1" fillId="6" borderId="23"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2" fillId="6" borderId="29" xfId="0" applyNumberFormat="1" applyFont="1" applyFill="1" applyBorder="1" applyAlignment="1">
      <alignment horizontal="center" vertical="top"/>
    </xf>
    <xf numFmtId="164" fontId="4" fillId="0" borderId="0" xfId="0" applyNumberFormat="1" applyFont="1" applyBorder="1"/>
    <xf numFmtId="164" fontId="1" fillId="7" borderId="0" xfId="0" applyNumberFormat="1" applyFont="1" applyFill="1" applyAlignment="1">
      <alignment vertical="top"/>
    </xf>
    <xf numFmtId="164" fontId="1" fillId="7" borderId="0" xfId="0" applyNumberFormat="1" applyFont="1" applyFill="1" applyBorder="1" applyAlignment="1">
      <alignment vertical="top"/>
    </xf>
    <xf numFmtId="49"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0" fontId="13"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2" fillId="6" borderId="38" xfId="0" applyFont="1" applyFill="1" applyBorder="1" applyAlignment="1">
      <alignment horizontal="center" vertical="center" wrapText="1"/>
    </xf>
    <xf numFmtId="0" fontId="1" fillId="6" borderId="36" xfId="0" applyFont="1" applyFill="1" applyBorder="1" applyAlignment="1">
      <alignment horizontal="center" vertical="top" wrapText="1"/>
    </xf>
    <xf numFmtId="164" fontId="13" fillId="6" borderId="35"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4" fillId="6" borderId="0" xfId="0" applyNumberFormat="1" applyFont="1" applyFill="1" applyAlignment="1">
      <alignment horizontal="left" vertical="top" wrapText="1"/>
    </xf>
    <xf numFmtId="3" fontId="24" fillId="6" borderId="0" xfId="0" applyNumberFormat="1" applyFont="1" applyFill="1" applyAlignment="1">
      <alignment vertical="top"/>
    </xf>
    <xf numFmtId="3" fontId="1" fillId="6" borderId="12"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165" fontId="1" fillId="9" borderId="11" xfId="3"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0" fontId="13" fillId="0" borderId="0" xfId="0" applyFont="1" applyAlignment="1">
      <alignment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0" fontId="1" fillId="6" borderId="14" xfId="0" applyFont="1" applyFill="1" applyBorder="1" applyAlignment="1">
      <alignment vertical="top" wrapText="1"/>
    </xf>
    <xf numFmtId="49"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164"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8" fillId="6" borderId="12"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0" fontId="17" fillId="0" borderId="11" xfId="0" applyFont="1" applyBorder="1" applyAlignment="1">
      <alignment horizontal="left" vertical="top" wrapText="1"/>
    </xf>
    <xf numFmtId="3" fontId="2" fillId="6" borderId="3" xfId="0" applyNumberFormat="1" applyFont="1" applyFill="1" applyBorder="1" applyAlignment="1">
      <alignment horizontal="center" vertical="top" wrapText="1"/>
    </xf>
    <xf numFmtId="3" fontId="6" fillId="6" borderId="38" xfId="0" applyNumberFormat="1" applyFont="1" applyFill="1" applyBorder="1" applyAlignment="1">
      <alignment vertical="top" wrapText="1"/>
    </xf>
    <xf numFmtId="3" fontId="1" fillId="7" borderId="11"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164" fontId="1" fillId="6" borderId="14" xfId="1" applyNumberFormat="1" applyFont="1" applyFill="1" applyBorder="1" applyAlignment="1">
      <alignment horizontal="center" vertical="top" wrapText="1"/>
    </xf>
    <xf numFmtId="49" fontId="1" fillId="7" borderId="13" xfId="0" applyNumberFormat="1" applyFont="1" applyFill="1" applyBorder="1" applyAlignment="1">
      <alignment horizontal="center" vertical="top" wrapText="1"/>
    </xf>
    <xf numFmtId="49" fontId="17" fillId="0" borderId="25" xfId="0" applyNumberFormat="1" applyFont="1" applyBorder="1" applyAlignment="1">
      <alignment horizontal="center" vertical="top" wrapText="1"/>
    </xf>
    <xf numFmtId="3" fontId="23" fillId="6" borderId="43" xfId="0" applyNumberFormat="1" applyFont="1" applyFill="1" applyBorder="1" applyAlignment="1">
      <alignment horizontal="center" vertical="top"/>
    </xf>
    <xf numFmtId="3" fontId="1" fillId="7" borderId="59" xfId="0" applyNumberFormat="1" applyFont="1" applyFill="1" applyBorder="1" applyAlignment="1">
      <alignment horizontal="center" vertical="top"/>
    </xf>
    <xf numFmtId="3" fontId="1" fillId="7" borderId="41" xfId="0" applyNumberFormat="1" applyFont="1" applyFill="1" applyBorder="1" applyAlignment="1">
      <alignment horizontal="center" vertical="top"/>
    </xf>
    <xf numFmtId="164" fontId="9" fillId="6" borderId="5" xfId="0" applyNumberFormat="1" applyFont="1" applyFill="1" applyBorder="1" applyAlignment="1">
      <alignment horizontal="center" vertical="top"/>
    </xf>
    <xf numFmtId="164" fontId="9" fillId="6" borderId="74" xfId="0" applyNumberFormat="1" applyFont="1" applyFill="1" applyBorder="1" applyAlignment="1">
      <alignment horizontal="center" vertical="top"/>
    </xf>
    <xf numFmtId="164" fontId="9" fillId="6" borderId="0" xfId="0" applyNumberFormat="1" applyFont="1" applyFill="1" applyBorder="1" applyAlignment="1">
      <alignment horizontal="center" vertical="top"/>
    </xf>
    <xf numFmtId="164" fontId="9" fillId="6" borderId="3" xfId="0" applyNumberFormat="1" applyFont="1" applyFill="1" applyBorder="1" applyAlignment="1">
      <alignment horizontal="center" vertical="top"/>
    </xf>
    <xf numFmtId="164" fontId="1" fillId="6" borderId="13" xfId="0" applyNumberFormat="1" applyFont="1" applyFill="1" applyBorder="1" applyAlignment="1">
      <alignment horizontal="center" vertical="top" wrapText="1"/>
    </xf>
    <xf numFmtId="164" fontId="1" fillId="6" borderId="59" xfId="0" applyNumberFormat="1" applyFont="1" applyFill="1" applyBorder="1" applyAlignment="1">
      <alignment horizontal="center" vertical="top" wrapText="1"/>
    </xf>
    <xf numFmtId="164" fontId="15" fillId="6" borderId="14" xfId="0" applyNumberFormat="1" applyFont="1" applyFill="1" applyBorder="1" applyAlignment="1">
      <alignment horizontal="center" vertical="top" wrapText="1"/>
    </xf>
    <xf numFmtId="164" fontId="1" fillId="6" borderId="106" xfId="1" applyNumberFormat="1" applyFont="1" applyFill="1" applyBorder="1" applyAlignment="1">
      <alignment horizontal="center" vertical="top"/>
    </xf>
    <xf numFmtId="164" fontId="26" fillId="6" borderId="107" xfId="1" applyNumberFormat="1" applyFont="1" applyFill="1" applyBorder="1" applyAlignment="1">
      <alignment horizontal="center" vertical="top"/>
    </xf>
    <xf numFmtId="164" fontId="1" fillId="6" borderId="15" xfId="1" applyNumberFormat="1" applyFont="1" applyFill="1" applyBorder="1" applyAlignment="1">
      <alignment horizontal="center" vertical="top" wrapText="1"/>
    </xf>
    <xf numFmtId="164" fontId="15" fillId="6" borderId="15" xfId="0" applyNumberFormat="1" applyFont="1" applyFill="1" applyBorder="1" applyAlignment="1">
      <alignment horizontal="center" vertical="top" wrapText="1"/>
    </xf>
    <xf numFmtId="164" fontId="1" fillId="6" borderId="102" xfId="1" applyNumberFormat="1" applyFont="1" applyFill="1" applyBorder="1" applyAlignment="1">
      <alignment horizontal="center" vertical="top"/>
    </xf>
    <xf numFmtId="164" fontId="26" fillId="6" borderId="87" xfId="1" applyNumberFormat="1" applyFont="1" applyFill="1" applyBorder="1" applyAlignment="1">
      <alignment horizontal="center" vertical="top"/>
    </xf>
    <xf numFmtId="164" fontId="1" fillId="6" borderId="80" xfId="1" applyNumberFormat="1" applyFont="1" applyFill="1" applyBorder="1" applyAlignment="1">
      <alignment horizontal="center" vertical="top" wrapText="1"/>
    </xf>
    <xf numFmtId="164" fontId="1" fillId="6" borderId="12" xfId="1" applyNumberFormat="1" applyFont="1" applyFill="1" applyBorder="1" applyAlignment="1">
      <alignment horizontal="center" vertical="top" wrapText="1"/>
    </xf>
    <xf numFmtId="3" fontId="1" fillId="0" borderId="38" xfId="0" applyNumberFormat="1" applyFont="1" applyBorder="1" applyAlignment="1">
      <alignment vertical="top"/>
    </xf>
    <xf numFmtId="164" fontId="15" fillId="6" borderId="12" xfId="0" applyNumberFormat="1" applyFont="1" applyFill="1" applyBorder="1" applyAlignment="1">
      <alignment horizontal="center" vertical="top" wrapText="1"/>
    </xf>
    <xf numFmtId="164" fontId="1" fillId="6" borderId="109" xfId="0" applyNumberFormat="1" applyFont="1" applyFill="1" applyBorder="1" applyAlignment="1">
      <alignment horizontal="center" vertical="top"/>
    </xf>
    <xf numFmtId="164" fontId="1" fillId="6" borderId="104" xfId="0" applyNumberFormat="1" applyFont="1" applyFill="1" applyBorder="1" applyAlignment="1">
      <alignment horizontal="center" vertical="top"/>
    </xf>
    <xf numFmtId="164" fontId="1" fillId="6" borderId="102" xfId="0" applyNumberFormat="1" applyFont="1" applyFill="1" applyBorder="1" applyAlignment="1">
      <alignment horizontal="center" vertical="top"/>
    </xf>
    <xf numFmtId="164" fontId="1" fillId="6" borderId="87" xfId="0" applyNumberFormat="1" applyFont="1" applyFill="1" applyBorder="1" applyAlignment="1">
      <alignment horizontal="center" vertical="top"/>
    </xf>
    <xf numFmtId="164" fontId="1" fillId="6" borderId="106" xfId="0" applyNumberFormat="1" applyFont="1" applyFill="1" applyBorder="1" applyAlignment="1">
      <alignment horizontal="center" vertical="top"/>
    </xf>
    <xf numFmtId="164" fontId="1" fillId="6" borderId="107" xfId="0" applyNumberFormat="1" applyFont="1" applyFill="1" applyBorder="1" applyAlignment="1">
      <alignment horizontal="center" vertical="top"/>
    </xf>
    <xf numFmtId="0" fontId="1" fillId="0" borderId="8" xfId="0" applyFont="1" applyBorder="1" applyAlignment="1">
      <alignment horizontal="center" vertical="center" wrapText="1"/>
    </xf>
    <xf numFmtId="164" fontId="2" fillId="3" borderId="9"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1" fillId="0" borderId="21" xfId="0" applyNumberFormat="1" applyFont="1" applyBorder="1" applyAlignment="1">
      <alignment horizontal="center" vertical="top" wrapText="1"/>
    </xf>
    <xf numFmtId="164" fontId="1" fillId="6" borderId="21" xfId="0" applyNumberFormat="1" applyFont="1" applyFill="1" applyBorder="1" applyAlignment="1">
      <alignment horizontal="center" vertical="top" wrapText="1"/>
    </xf>
    <xf numFmtId="164" fontId="1" fillId="8" borderId="21" xfId="0" applyNumberFormat="1" applyFont="1" applyFill="1" applyBorder="1" applyAlignment="1">
      <alignment horizontal="center" vertical="top" wrapText="1"/>
    </xf>
    <xf numFmtId="164" fontId="2" fillId="3" borderId="21" xfId="0" applyNumberFormat="1" applyFont="1" applyFill="1" applyBorder="1" applyAlignment="1">
      <alignment horizontal="center" vertical="top" wrapText="1"/>
    </xf>
    <xf numFmtId="164" fontId="2" fillId="5" borderId="27"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165" fontId="1" fillId="9" borderId="11" xfId="3"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164" fontId="34" fillId="6" borderId="16" xfId="0" applyNumberFormat="1" applyFont="1" applyFill="1" applyBorder="1" applyAlignment="1">
      <alignment horizontal="center" vertical="top"/>
    </xf>
    <xf numFmtId="164" fontId="34" fillId="6" borderId="15" xfId="0" applyNumberFormat="1" applyFont="1" applyFill="1" applyBorder="1" applyAlignment="1">
      <alignment horizontal="center" vertical="top"/>
    </xf>
    <xf numFmtId="164" fontId="15" fillId="6" borderId="16" xfId="0" applyNumberFormat="1" applyFont="1" applyFill="1" applyBorder="1" applyAlignment="1">
      <alignment horizontal="center" vertical="top"/>
    </xf>
    <xf numFmtId="164" fontId="15" fillId="6" borderId="0" xfId="1" applyNumberFormat="1" applyFont="1" applyFill="1" applyBorder="1" applyAlignment="1">
      <alignment horizontal="center" vertical="top" wrapText="1"/>
    </xf>
    <xf numFmtId="164" fontId="15" fillId="6" borderId="36" xfId="0" applyNumberFormat="1" applyFont="1" applyFill="1" applyBorder="1" applyAlignment="1">
      <alignment horizontal="center" vertical="top"/>
    </xf>
    <xf numFmtId="164" fontId="15" fillId="6" borderId="61" xfId="0" applyNumberFormat="1" applyFont="1" applyFill="1" applyBorder="1" applyAlignment="1">
      <alignment horizontal="center" vertical="top"/>
    </xf>
    <xf numFmtId="164" fontId="15" fillId="6" borderId="15" xfId="0" applyNumberFormat="1" applyFont="1" applyFill="1" applyBorder="1" applyAlignment="1">
      <alignment horizontal="center" vertical="top"/>
    </xf>
    <xf numFmtId="3" fontId="4" fillId="0" borderId="27" xfId="0" applyNumberFormat="1" applyFont="1" applyBorder="1" applyAlignment="1">
      <alignment horizontal="center" vertical="top" wrapText="1"/>
    </xf>
    <xf numFmtId="0" fontId="27" fillId="6" borderId="24" xfId="0" applyFont="1" applyFill="1" applyBorder="1" applyAlignment="1">
      <alignment vertical="top" wrapText="1"/>
    </xf>
    <xf numFmtId="3" fontId="1" fillId="6" borderId="12" xfId="0" applyNumberFormat="1" applyFont="1" applyFill="1" applyBorder="1" applyAlignment="1">
      <alignment horizontal="left"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2"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0" fontId="1" fillId="6" borderId="14" xfId="0" applyFont="1" applyFill="1" applyBorder="1" applyAlignment="1">
      <alignment vertical="top" wrapText="1"/>
    </xf>
    <xf numFmtId="0" fontId="1" fillId="6" borderId="11" xfId="0"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3" fontId="18" fillId="6" borderId="11" xfId="0" applyNumberFormat="1" applyFont="1" applyFill="1" applyBorder="1" applyAlignment="1">
      <alignment horizontal="left" vertical="top" wrapText="1"/>
    </xf>
    <xf numFmtId="3" fontId="1" fillId="0" borderId="13" xfId="0" applyNumberFormat="1" applyFont="1" applyFill="1" applyBorder="1" applyAlignment="1">
      <alignment horizontal="center" vertical="top" wrapText="1"/>
    </xf>
    <xf numFmtId="49" fontId="1" fillId="6" borderId="58"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164" fontId="2" fillId="3" borderId="10" xfId="0" applyNumberFormat="1" applyFont="1" applyFill="1" applyBorder="1" applyAlignment="1">
      <alignment horizontal="center" vertical="top" wrapText="1"/>
    </xf>
    <xf numFmtId="3" fontId="15" fillId="6" borderId="52" xfId="0" applyNumberFormat="1" applyFont="1" applyFill="1" applyBorder="1" applyAlignment="1">
      <alignment horizontal="center" vertical="top" wrapText="1"/>
    </xf>
    <xf numFmtId="164" fontId="15" fillId="6" borderId="60" xfId="0" applyNumberFormat="1" applyFont="1" applyFill="1" applyBorder="1" applyAlignment="1">
      <alignment horizontal="center" vertical="top"/>
    </xf>
    <xf numFmtId="0" fontId="1" fillId="6" borderId="54" xfId="0" applyFont="1" applyFill="1" applyBorder="1" applyAlignment="1">
      <alignment vertical="top" wrapText="1"/>
    </xf>
    <xf numFmtId="3" fontId="1" fillId="6" borderId="93"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1" fillId="6" borderId="59" xfId="0" applyNumberFormat="1" applyFont="1" applyFill="1" applyBorder="1" applyAlignment="1">
      <alignment horizontal="left" vertical="top" wrapText="1"/>
    </xf>
    <xf numFmtId="0" fontId="1" fillId="6" borderId="14" xfId="0" applyFont="1" applyFill="1" applyBorder="1" applyAlignment="1">
      <alignment vertical="top" wrapText="1"/>
    </xf>
    <xf numFmtId="3" fontId="2" fillId="5"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49" fontId="2" fillId="6" borderId="41" xfId="0" applyNumberFormat="1" applyFont="1" applyFill="1" applyBorder="1" applyAlignment="1">
      <alignment horizontal="center" vertical="top" wrapText="1"/>
    </xf>
    <xf numFmtId="164" fontId="15" fillId="6" borderId="70" xfId="0" applyNumberFormat="1" applyFont="1" applyFill="1" applyBorder="1" applyAlignment="1">
      <alignment horizontal="center" vertical="top"/>
    </xf>
    <xf numFmtId="3" fontId="15" fillId="6" borderId="38" xfId="0" applyNumberFormat="1" applyFont="1" applyFill="1" applyBorder="1" applyAlignment="1">
      <alignment horizontal="center" vertical="top"/>
    </xf>
    <xf numFmtId="0" fontId="13" fillId="6" borderId="59" xfId="0" applyFont="1" applyFill="1" applyBorder="1" applyAlignment="1">
      <alignment horizontal="center" vertical="center" textRotation="90" wrapText="1"/>
    </xf>
    <xf numFmtId="0" fontId="1" fillId="6" borderId="11" xfId="0" applyFont="1" applyFill="1" applyBorder="1" applyAlignment="1">
      <alignment horizontal="left" vertical="top" wrapText="1"/>
    </xf>
    <xf numFmtId="49" fontId="19" fillId="6" borderId="12" xfId="0" applyNumberFormat="1" applyFont="1" applyFill="1" applyBorder="1" applyAlignment="1">
      <alignment horizontal="center" vertical="top"/>
    </xf>
    <xf numFmtId="164" fontId="8" fillId="8" borderId="77" xfId="0" applyNumberFormat="1" applyFont="1" applyFill="1" applyBorder="1" applyAlignment="1">
      <alignment horizontal="center" vertical="top"/>
    </xf>
    <xf numFmtId="164" fontId="8" fillId="8" borderId="56"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0" fontId="1" fillId="6" borderId="11" xfId="0" applyFont="1" applyFill="1" applyBorder="1" applyAlignment="1">
      <alignment horizontal="left" vertical="top" wrapText="1"/>
    </xf>
    <xf numFmtId="3" fontId="2" fillId="6" borderId="43" xfId="0" applyNumberFormat="1" applyFont="1" applyFill="1" applyBorder="1" applyAlignment="1">
      <alignment horizontal="center" vertical="top"/>
    </xf>
    <xf numFmtId="3" fontId="1" fillId="6" borderId="43" xfId="0" applyNumberFormat="1" applyFont="1" applyFill="1" applyBorder="1" applyAlignment="1">
      <alignment horizontal="left" vertical="top" wrapText="1"/>
    </xf>
    <xf numFmtId="0" fontId="1" fillId="6" borderId="0" xfId="0" applyFont="1" applyFill="1" applyBorder="1" applyAlignment="1">
      <alignment horizontal="center" vertical="top" wrapText="1"/>
    </xf>
    <xf numFmtId="3" fontId="15" fillId="6" borderId="38" xfId="0" applyNumberFormat="1" applyFont="1" applyFill="1" applyBorder="1" applyAlignment="1">
      <alignment horizontal="center" vertical="top" wrapText="1"/>
    </xf>
    <xf numFmtId="0" fontId="15" fillId="6" borderId="12" xfId="0" applyFont="1" applyFill="1" applyBorder="1" applyAlignment="1">
      <alignment horizontal="center" vertical="top" wrapText="1"/>
    </xf>
    <xf numFmtId="3" fontId="15" fillId="6" borderId="0" xfId="0" applyNumberFormat="1" applyFont="1" applyFill="1" applyBorder="1" applyAlignment="1">
      <alignment horizontal="center" vertical="top" wrapText="1"/>
    </xf>
    <xf numFmtId="0" fontId="1" fillId="6" borderId="53" xfId="0" applyFont="1" applyFill="1" applyBorder="1" applyAlignment="1">
      <alignment horizontal="center" vertical="top" wrapText="1"/>
    </xf>
    <xf numFmtId="3" fontId="34" fillId="6" borderId="101" xfId="0" applyNumberFormat="1" applyFont="1" applyFill="1" applyBorder="1" applyAlignment="1">
      <alignment horizontal="center" vertical="top"/>
    </xf>
    <xf numFmtId="164" fontId="34" fillId="6" borderId="101" xfId="0" applyNumberFormat="1" applyFont="1" applyFill="1" applyBorder="1" applyAlignment="1">
      <alignment horizontal="center" vertical="top"/>
    </xf>
    <xf numFmtId="0" fontId="1" fillId="0" borderId="79" xfId="0" applyFont="1" applyBorder="1" applyAlignment="1">
      <alignment vertical="top" wrapText="1"/>
    </xf>
    <xf numFmtId="164" fontId="1" fillId="6" borderId="13"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2" fillId="8" borderId="30" xfId="0" applyNumberFormat="1" applyFont="1" applyFill="1" applyBorder="1" applyAlignment="1">
      <alignment horizontal="center" vertical="top"/>
    </xf>
    <xf numFmtId="164" fontId="15" fillId="0" borderId="12" xfId="0" applyNumberFormat="1" applyFont="1" applyFill="1" applyBorder="1" applyAlignment="1">
      <alignment horizontal="center" vertical="top"/>
    </xf>
    <xf numFmtId="164" fontId="15" fillId="0" borderId="15"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57"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49" fontId="1" fillId="6" borderId="4"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1" xfId="0" applyNumberFormat="1" applyFont="1" applyFill="1" applyBorder="1" applyAlignment="1">
      <alignment horizontal="left" vertical="top" wrapText="1"/>
    </xf>
    <xf numFmtId="0" fontId="1" fillId="6" borderId="99" xfId="0" applyFont="1" applyFill="1" applyBorder="1" applyAlignment="1">
      <alignment horizontal="center" vertical="top" wrapText="1"/>
    </xf>
    <xf numFmtId="3" fontId="1" fillId="0" borderId="101" xfId="0" applyNumberFormat="1" applyFont="1" applyFill="1" applyBorder="1" applyAlignment="1">
      <alignment horizontal="center" vertical="top"/>
    </xf>
    <xf numFmtId="0" fontId="35" fillId="0" borderId="0" xfId="0" applyFont="1" applyAlignment="1">
      <alignment horizontal="right" vertical="top"/>
    </xf>
    <xf numFmtId="164" fontId="15" fillId="6" borderId="3" xfId="0" applyNumberFormat="1" applyFont="1" applyFill="1" applyBorder="1" applyAlignment="1">
      <alignment horizontal="center" vertical="top"/>
    </xf>
    <xf numFmtId="164" fontId="15" fillId="6" borderId="6" xfId="0" applyNumberFormat="1" applyFont="1" applyFill="1" applyBorder="1" applyAlignment="1">
      <alignment horizontal="center" vertical="top"/>
    </xf>
    <xf numFmtId="3" fontId="15" fillId="6" borderId="76" xfId="0" applyNumberFormat="1" applyFont="1" applyFill="1" applyBorder="1" applyAlignment="1">
      <alignment horizontal="center" vertical="top"/>
    </xf>
    <xf numFmtId="49" fontId="19" fillId="6" borderId="76" xfId="0" applyNumberFormat="1" applyFont="1" applyFill="1" applyBorder="1" applyAlignment="1">
      <alignment horizontal="center" vertical="top"/>
    </xf>
    <xf numFmtId="3" fontId="15" fillId="6" borderId="58" xfId="0" applyNumberFormat="1" applyFont="1" applyFill="1" applyBorder="1" applyAlignment="1">
      <alignment horizontal="center" vertical="top"/>
    </xf>
    <xf numFmtId="164" fontId="15" fillId="6" borderId="73" xfId="1" applyNumberFormat="1" applyFont="1" applyFill="1" applyBorder="1" applyAlignment="1">
      <alignment horizontal="center" vertical="top" wrapText="1"/>
    </xf>
    <xf numFmtId="164" fontId="15" fillId="6" borderId="12" xfId="1" applyNumberFormat="1" applyFont="1" applyFill="1" applyBorder="1" applyAlignment="1">
      <alignment horizontal="center" vertical="top"/>
    </xf>
    <xf numFmtId="164" fontId="15" fillId="6" borderId="0" xfId="1" applyNumberFormat="1" applyFont="1" applyFill="1" applyBorder="1" applyAlignment="1">
      <alignment horizontal="center" vertical="top"/>
    </xf>
    <xf numFmtId="164" fontId="1" fillId="6" borderId="42" xfId="1" applyNumberFormat="1" applyFont="1" applyFill="1" applyBorder="1" applyAlignment="1">
      <alignment horizontal="center" vertical="top" wrapText="1"/>
    </xf>
    <xf numFmtId="164" fontId="1" fillId="6" borderId="36" xfId="1" applyNumberFormat="1" applyFont="1" applyFill="1" applyBorder="1" applyAlignment="1">
      <alignment horizontal="center" vertical="top" wrapText="1"/>
    </xf>
    <xf numFmtId="164" fontId="1" fillId="6" borderId="60" xfId="1" applyNumberFormat="1" applyFont="1" applyFill="1" applyBorder="1" applyAlignment="1">
      <alignment horizontal="center" vertical="top" wrapText="1"/>
    </xf>
    <xf numFmtId="0" fontId="1" fillId="6" borderId="79" xfId="1" applyFont="1" applyFill="1" applyBorder="1" applyAlignment="1">
      <alignment vertical="top" wrapText="1"/>
    </xf>
    <xf numFmtId="164" fontId="15" fillId="6" borderId="96" xfId="1" applyNumberFormat="1" applyFont="1" applyFill="1" applyBorder="1" applyAlignment="1">
      <alignment horizontal="center" vertical="top" wrapText="1"/>
    </xf>
    <xf numFmtId="164" fontId="15" fillId="6" borderId="38" xfId="0" applyNumberFormat="1" applyFont="1" applyFill="1" applyBorder="1" applyAlignment="1">
      <alignment horizontal="center" vertical="top"/>
    </xf>
    <xf numFmtId="164" fontId="15" fillId="6" borderId="72" xfId="0" applyNumberFormat="1" applyFont="1" applyFill="1" applyBorder="1" applyAlignment="1">
      <alignment horizontal="center" vertical="top"/>
    </xf>
    <xf numFmtId="164" fontId="15" fillId="6" borderId="74" xfId="0" applyNumberFormat="1" applyFont="1" applyFill="1" applyBorder="1" applyAlignment="1">
      <alignment horizontal="center" vertical="top"/>
    </xf>
    <xf numFmtId="0" fontId="1" fillId="6" borderId="35" xfId="0" applyFont="1" applyFill="1" applyBorder="1" applyAlignment="1">
      <alignment vertical="top" wrapText="1"/>
    </xf>
    <xf numFmtId="164" fontId="37" fillId="5" borderId="65" xfId="0" applyNumberFormat="1" applyFont="1" applyFill="1" applyBorder="1" applyAlignment="1">
      <alignment horizontal="center" vertical="top"/>
    </xf>
    <xf numFmtId="3" fontId="15" fillId="6" borderId="12" xfId="0" applyNumberFormat="1" applyFont="1" applyFill="1" applyBorder="1" applyAlignment="1">
      <alignment horizontal="center" vertical="top"/>
    </xf>
    <xf numFmtId="3" fontId="15" fillId="6" borderId="80" xfId="0" applyNumberFormat="1" applyFont="1" applyFill="1" applyBorder="1" applyAlignment="1">
      <alignment horizontal="center" vertical="top"/>
    </xf>
    <xf numFmtId="0" fontId="1" fillId="6" borderId="69" xfId="0" applyFont="1" applyFill="1" applyBorder="1" applyAlignment="1">
      <alignment horizontal="left" vertical="top" wrapText="1"/>
    </xf>
    <xf numFmtId="0" fontId="13" fillId="6" borderId="11" xfId="0" applyFont="1" applyFill="1" applyBorder="1" applyAlignment="1">
      <alignment vertical="top" wrapText="1"/>
    </xf>
    <xf numFmtId="0" fontId="1" fillId="6" borderId="14" xfId="0" applyFont="1" applyFill="1" applyBorder="1" applyAlignment="1">
      <alignment vertical="top" wrapText="1"/>
    </xf>
    <xf numFmtId="164" fontId="15" fillId="6" borderId="83" xfId="0" applyNumberFormat="1" applyFont="1" applyFill="1" applyBorder="1" applyAlignment="1">
      <alignment horizontal="center" vertical="top"/>
    </xf>
    <xf numFmtId="164" fontId="1" fillId="6" borderId="52" xfId="1" applyNumberFormat="1" applyFont="1" applyFill="1" applyBorder="1" applyAlignment="1">
      <alignment horizontal="center" vertical="top" wrapText="1"/>
    </xf>
    <xf numFmtId="164" fontId="1" fillId="6" borderId="52" xfId="0" applyNumberFormat="1" applyFont="1" applyFill="1" applyBorder="1" applyAlignment="1">
      <alignment horizontal="center" vertical="top" wrapText="1"/>
    </xf>
    <xf numFmtId="49" fontId="15" fillId="6" borderId="12" xfId="0" applyNumberFormat="1" applyFont="1" applyFill="1" applyBorder="1" applyAlignment="1">
      <alignment horizontal="center" vertical="top" wrapText="1"/>
    </xf>
    <xf numFmtId="49" fontId="19" fillId="6" borderId="38" xfId="0" applyNumberFormat="1" applyFont="1" applyFill="1" applyBorder="1" applyAlignment="1">
      <alignment horizontal="center" vertical="top" wrapText="1"/>
    </xf>
    <xf numFmtId="49" fontId="15" fillId="7" borderId="12" xfId="0" applyNumberFormat="1" applyFont="1" applyFill="1" applyBorder="1" applyAlignment="1">
      <alignment horizontal="center" vertical="top" wrapText="1"/>
    </xf>
    <xf numFmtId="49" fontId="30" fillId="0" borderId="24" xfId="0" applyNumberFormat="1" applyFont="1" applyBorder="1" applyAlignment="1">
      <alignment horizontal="center" vertical="top" textRotation="91"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0" fontId="17" fillId="0" borderId="0" xfId="0" applyFont="1" applyAlignment="1">
      <alignment horizontal="center"/>
    </xf>
    <xf numFmtId="3" fontId="1" fillId="6" borderId="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24" xfId="0" applyNumberFormat="1" applyFont="1" applyFill="1" applyBorder="1" applyAlignment="1">
      <alignment horizontal="left" vertical="top" wrapText="1"/>
    </xf>
    <xf numFmtId="0" fontId="29" fillId="0" borderId="0" xfId="0" applyFont="1" applyAlignment="1">
      <alignment horizontal="right" wrapText="1"/>
    </xf>
    <xf numFmtId="0" fontId="12" fillId="0" borderId="0" xfId="0" applyFont="1" applyAlignment="1">
      <alignment horizontal="right"/>
    </xf>
    <xf numFmtId="3" fontId="24" fillId="0" borderId="0" xfId="0" applyNumberFormat="1" applyFont="1" applyAlignment="1">
      <alignment horizontal="center" vertical="top" wrapText="1"/>
    </xf>
    <xf numFmtId="3" fontId="25" fillId="0" borderId="0" xfId="0" applyNumberFormat="1" applyFont="1" applyAlignment="1">
      <alignment horizontal="center" vertical="top" wrapText="1"/>
    </xf>
    <xf numFmtId="3" fontId="24"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17" fillId="0" borderId="1" xfId="0" applyFont="1" applyBorder="1" applyAlignment="1">
      <alignment horizontal="right" vertical="top"/>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6" borderId="7" xfId="0" applyFont="1" applyFill="1" applyBorder="1" applyAlignment="1">
      <alignment horizontal="center" vertical="center" textRotation="90" wrapText="1"/>
    </xf>
    <xf numFmtId="0" fontId="1" fillId="6" borderId="16" xfId="0" applyFont="1" applyFill="1" applyBorder="1" applyAlignment="1">
      <alignment horizontal="center" vertical="center" textRotation="90" wrapText="1"/>
    </xf>
    <xf numFmtId="0" fontId="1" fillId="6" borderId="28" xfId="0" applyFont="1" applyFill="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0" fontId="1" fillId="0" borderId="7"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38" xfId="0" applyNumberFormat="1" applyFont="1" applyFill="1" applyBorder="1" applyAlignment="1">
      <alignment horizontal="left" vertical="top" wrapText="1"/>
    </xf>
    <xf numFmtId="3" fontId="17" fillId="0" borderId="36" xfId="0" applyNumberFormat="1" applyFont="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72"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0" borderId="43" xfId="0" applyNumberFormat="1" applyFont="1" applyBorder="1" applyAlignment="1">
      <alignment horizontal="center" vertical="top"/>
    </xf>
    <xf numFmtId="3" fontId="2" fillId="0" borderId="29" xfId="0" applyNumberFormat="1" applyFont="1" applyBorder="1" applyAlignment="1">
      <alignment horizontal="center" vertical="top"/>
    </xf>
    <xf numFmtId="3" fontId="1" fillId="6" borderId="12" xfId="0" applyNumberFormat="1" applyFont="1" applyFill="1" applyBorder="1" applyAlignment="1">
      <alignment vertical="top" wrapText="1"/>
    </xf>
    <xf numFmtId="0" fontId="17" fillId="0" borderId="36" xfId="0" applyFont="1" applyBorder="1" applyAlignment="1">
      <alignment vertical="top" wrapText="1"/>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5" fillId="0" borderId="38" xfId="0" applyNumberFormat="1" applyFont="1" applyBorder="1" applyAlignment="1">
      <alignment vertical="top" wrapText="1"/>
    </xf>
    <xf numFmtId="0" fontId="0" fillId="0" borderId="36" xfId="0" applyBorder="1" applyAlignment="1">
      <alignment vertical="top" wrapText="1"/>
    </xf>
    <xf numFmtId="3" fontId="5" fillId="6" borderId="3" xfId="0" applyNumberFormat="1" applyFont="1" applyFill="1" applyBorder="1" applyAlignment="1">
      <alignment horizontal="left" vertical="top" wrapText="1"/>
    </xf>
    <xf numFmtId="0" fontId="0" fillId="6" borderId="36" xfId="0" applyFill="1" applyBorder="1" applyAlignment="1">
      <alignment horizontal="left" vertical="top" wrapText="1"/>
    </xf>
    <xf numFmtId="3" fontId="2" fillId="4" borderId="2"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0" fontId="17" fillId="6" borderId="12" xfId="0" applyFont="1" applyFill="1" applyBorder="1" applyAlignment="1">
      <alignment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8" fillId="6" borderId="12" xfId="0" applyNumberFormat="1" applyFont="1" applyFill="1" applyBorder="1" applyAlignment="1">
      <alignment horizontal="center" vertical="top" textRotation="90" wrapText="1"/>
    </xf>
    <xf numFmtId="3" fontId="21" fillId="6" borderId="36" xfId="0" applyNumberFormat="1" applyFont="1" applyFill="1" applyBorder="1" applyAlignment="1">
      <alignment horizontal="center" vertical="top" textRotation="90" wrapText="1"/>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1" fillId="6" borderId="2" xfId="0" applyNumberFormat="1" applyFont="1" applyFill="1" applyBorder="1" applyAlignment="1">
      <alignment horizontal="left" vertical="top" wrapText="1"/>
    </xf>
    <xf numFmtId="3" fontId="3" fillId="6" borderId="3" xfId="0" applyNumberFormat="1" applyFont="1" applyFill="1" applyBorder="1" applyAlignment="1">
      <alignment horizontal="center" vertical="top" textRotation="90" wrapText="1"/>
    </xf>
    <xf numFmtId="3" fontId="3" fillId="6" borderId="12" xfId="0" applyNumberFormat="1" applyFont="1" applyFill="1" applyBorder="1" applyAlignment="1">
      <alignment horizontal="center" vertical="top" textRotation="90" wrapText="1"/>
    </xf>
    <xf numFmtId="49" fontId="2" fillId="6" borderId="24" xfId="0" applyNumberFormat="1" applyFont="1" applyFill="1" applyBorder="1" applyAlignment="1">
      <alignment horizontal="center" vertical="top"/>
    </xf>
    <xf numFmtId="3" fontId="3" fillId="6" borderId="38" xfId="0" applyNumberFormat="1" applyFont="1" applyFill="1" applyBorder="1" applyAlignment="1">
      <alignment horizontal="center" vertical="center" textRotation="90" wrapText="1"/>
    </xf>
    <xf numFmtId="3" fontId="3" fillId="6" borderId="12" xfId="0" applyNumberFormat="1" applyFont="1" applyFill="1" applyBorder="1" applyAlignment="1">
      <alignment horizontal="center" vertical="center" textRotation="90" wrapText="1"/>
    </xf>
    <xf numFmtId="0" fontId="31" fillId="6" borderId="36" xfId="0" applyFont="1" applyFill="1" applyBorder="1" applyAlignment="1">
      <alignment horizontal="center" vertical="center" textRotation="90" wrapText="1"/>
    </xf>
    <xf numFmtId="0" fontId="13" fillId="6" borderId="11" xfId="0" applyFont="1" applyFill="1" applyBorder="1" applyAlignment="1">
      <alignment horizontal="left" vertical="top" wrapText="1"/>
    </xf>
    <xf numFmtId="3" fontId="1" fillId="6" borderId="38" xfId="0" applyNumberFormat="1" applyFont="1" applyFill="1" applyBorder="1" applyAlignment="1">
      <alignment vertical="top" wrapText="1"/>
    </xf>
    <xf numFmtId="0" fontId="0" fillId="0" borderId="12" xfId="0" applyBorder="1" applyAlignment="1">
      <alignment vertical="top" wrapText="1"/>
    </xf>
    <xf numFmtId="3" fontId="1" fillId="6" borderId="17" xfId="0" applyNumberFormat="1" applyFont="1" applyFill="1" applyBorder="1" applyAlignment="1">
      <alignment vertical="top" wrapText="1"/>
    </xf>
    <xf numFmtId="0" fontId="0" fillId="0" borderId="11" xfId="0" applyBorder="1" applyAlignment="1">
      <alignment vertical="top" wrapText="1"/>
    </xf>
    <xf numFmtId="3" fontId="2" fillId="5" borderId="64" xfId="0" applyNumberFormat="1" applyFont="1" applyFill="1" applyBorder="1" applyAlignment="1">
      <alignment horizontal="right" vertical="top"/>
    </xf>
    <xf numFmtId="3" fontId="2" fillId="5" borderId="65"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1" fillId="6" borderId="36" xfId="0" applyNumberFormat="1" applyFont="1" applyFill="1" applyBorder="1" applyAlignment="1">
      <alignment horizontal="left" vertical="top" wrapText="1"/>
    </xf>
    <xf numFmtId="3" fontId="2" fillId="6" borderId="3" xfId="0" applyNumberFormat="1" applyFont="1" applyFill="1" applyBorder="1" applyAlignment="1">
      <alignment vertical="top" wrapText="1"/>
    </xf>
    <xf numFmtId="0" fontId="0" fillId="6" borderId="12" xfId="0" applyFill="1" applyBorder="1" applyAlignment="1">
      <alignment vertical="top" wrapText="1"/>
    </xf>
    <xf numFmtId="0" fontId="0" fillId="6" borderId="36" xfId="0" applyFill="1" applyBorder="1" applyAlignment="1">
      <alignment vertical="top" wrapText="1"/>
    </xf>
    <xf numFmtId="3" fontId="8" fillId="4" borderId="42" xfId="0" applyNumberFormat="1" applyFont="1" applyFill="1" applyBorder="1" applyAlignment="1">
      <alignment horizontal="center" vertical="top"/>
    </xf>
    <xf numFmtId="3" fontId="8" fillId="4" borderId="31" xfId="0" applyNumberFormat="1" applyFont="1" applyFill="1" applyBorder="1" applyAlignment="1">
      <alignment horizontal="center" vertical="top"/>
    </xf>
    <xf numFmtId="3" fontId="8" fillId="4" borderId="69" xfId="0" applyNumberFormat="1" applyFont="1" applyFill="1" applyBorder="1" applyAlignment="1">
      <alignment horizontal="center" vertical="top"/>
    </xf>
    <xf numFmtId="3" fontId="8" fillId="5" borderId="36" xfId="0" applyNumberFormat="1" applyFont="1" applyFill="1" applyBorder="1" applyAlignment="1">
      <alignment horizontal="center" vertical="top"/>
    </xf>
    <xf numFmtId="3" fontId="8" fillId="5" borderId="33" xfId="0" applyNumberFormat="1" applyFont="1" applyFill="1" applyBorder="1" applyAlignment="1">
      <alignment horizontal="center" vertical="top"/>
    </xf>
    <xf numFmtId="3" fontId="8" fillId="5" borderId="38" xfId="0" applyNumberFormat="1" applyFont="1" applyFill="1" applyBorder="1" applyAlignment="1">
      <alignment horizontal="center" vertical="top"/>
    </xf>
    <xf numFmtId="3" fontId="8" fillId="6" borderId="53" xfId="0" applyNumberFormat="1" applyFont="1" applyFill="1" applyBorder="1" applyAlignment="1">
      <alignment horizontal="center" vertical="top"/>
    </xf>
    <xf numFmtId="3" fontId="8" fillId="6" borderId="19" xfId="0" applyNumberFormat="1" applyFont="1" applyFill="1" applyBorder="1" applyAlignment="1">
      <alignment horizontal="center" vertical="top"/>
    </xf>
    <xf numFmtId="3" fontId="8" fillId="6" borderId="71" xfId="0" applyNumberFormat="1" applyFont="1" applyFill="1" applyBorder="1" applyAlignment="1">
      <alignment horizontal="center" vertical="top"/>
    </xf>
    <xf numFmtId="3" fontId="8" fillId="6" borderId="72" xfId="0" applyNumberFormat="1" applyFont="1" applyFill="1" applyBorder="1" applyAlignment="1">
      <alignment horizontal="center" vertical="top"/>
    </xf>
    <xf numFmtId="3" fontId="9" fillId="6" borderId="38" xfId="0" applyNumberFormat="1" applyFont="1" applyFill="1" applyBorder="1" applyAlignment="1">
      <alignment horizontal="left" vertical="top" wrapText="1"/>
    </xf>
    <xf numFmtId="0" fontId="17" fillId="6" borderId="12" xfId="0" applyFont="1" applyFill="1" applyBorder="1" applyAlignment="1">
      <alignment vertical="top"/>
    </xf>
    <xf numFmtId="0" fontId="17" fillId="6" borderId="36" xfId="0" applyFont="1" applyFill="1" applyBorder="1" applyAlignment="1">
      <alignment vertical="top"/>
    </xf>
    <xf numFmtId="3" fontId="8" fillId="6" borderId="20" xfId="0" applyNumberFormat="1" applyFont="1" applyFill="1" applyBorder="1" applyAlignment="1">
      <alignment horizontal="center" vertical="top"/>
    </xf>
    <xf numFmtId="0" fontId="13" fillId="6" borderId="43" xfId="0" applyFont="1" applyFill="1" applyBorder="1" applyAlignment="1">
      <alignment vertical="top"/>
    </xf>
    <xf numFmtId="3" fontId="1" fillId="6" borderId="38"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center" textRotation="90" wrapText="1"/>
    </xf>
    <xf numFmtId="0" fontId="13" fillId="6" borderId="12" xfId="0" applyFont="1" applyFill="1" applyBorder="1" applyAlignment="1">
      <alignment horizontal="center" vertical="center" textRotation="90" wrapText="1"/>
    </xf>
    <xf numFmtId="3" fontId="1" fillId="6" borderId="36" xfId="0" applyNumberFormat="1" applyFont="1" applyFill="1" applyBorder="1" applyAlignment="1">
      <alignment vertical="top" wrapText="1"/>
    </xf>
    <xf numFmtId="49" fontId="7"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0" fontId="1" fillId="6" borderId="14" xfId="0" applyFont="1" applyFill="1" applyBorder="1" applyAlignment="1">
      <alignment vertical="top" wrapText="1"/>
    </xf>
    <xf numFmtId="0" fontId="17" fillId="6" borderId="42" xfId="0" applyFont="1" applyFill="1" applyBorder="1" applyAlignment="1">
      <alignment vertical="top" wrapText="1"/>
    </xf>
    <xf numFmtId="3" fontId="1" fillId="6" borderId="38"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left" vertical="center" textRotation="90" wrapText="1"/>
    </xf>
    <xf numFmtId="0" fontId="13" fillId="6" borderId="36" xfId="0" applyFont="1" applyFill="1" applyBorder="1" applyAlignment="1">
      <alignment horizontal="left" vertical="center" textRotation="90" wrapText="1"/>
    </xf>
    <xf numFmtId="0" fontId="1" fillId="6" borderId="41"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1" fillId="6" borderId="17" xfId="1" applyFont="1" applyFill="1" applyBorder="1" applyAlignment="1">
      <alignment vertical="top" wrapText="1"/>
    </xf>
    <xf numFmtId="0" fontId="13" fillId="6" borderId="11" xfId="0" applyFont="1" applyFill="1" applyBorder="1" applyAlignment="1">
      <alignment vertical="top" wrapText="1"/>
    </xf>
    <xf numFmtId="0" fontId="1" fillId="6" borderId="38" xfId="0" applyFont="1" applyFill="1" applyBorder="1" applyAlignment="1">
      <alignment horizontal="center" vertical="center" textRotation="90" wrapText="1"/>
    </xf>
    <xf numFmtId="0" fontId="13" fillId="6" borderId="36" xfId="0" applyFont="1" applyFill="1" applyBorder="1" applyAlignment="1">
      <alignment horizontal="center" vertical="center" textRotation="90"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17" fillId="0" borderId="12" xfId="0" applyFont="1" applyBorder="1" applyAlignment="1">
      <alignment vertical="center" textRotation="90" wrapText="1"/>
    </xf>
    <xf numFmtId="3" fontId="2" fillId="6" borderId="3" xfId="0" applyNumberFormat="1" applyFont="1" applyFill="1" applyBorder="1" applyAlignment="1">
      <alignment horizontal="left" vertical="top" wrapText="1"/>
    </xf>
    <xf numFmtId="0" fontId="0" fillId="0" borderId="12" xfId="0" applyBorder="1" applyAlignment="1">
      <alignment horizontal="left" vertical="top" wrapText="1"/>
    </xf>
    <xf numFmtId="0" fontId="14" fillId="6" borderId="11" xfId="0" applyFont="1" applyFill="1" applyBorder="1" applyAlignment="1">
      <alignment vertical="top" wrapText="1"/>
    </xf>
    <xf numFmtId="0" fontId="0" fillId="6" borderId="35" xfId="0" applyFill="1" applyBorder="1" applyAlignment="1">
      <alignment vertical="top" wrapText="1"/>
    </xf>
    <xf numFmtId="0" fontId="1" fillId="6" borderId="11" xfId="0" applyFont="1" applyFill="1" applyBorder="1" applyAlignment="1">
      <alignment horizontal="left" vertical="top" wrapText="1"/>
    </xf>
    <xf numFmtId="0" fontId="13" fillId="0" borderId="0" xfId="0" applyFont="1" applyAlignment="1">
      <alignment vertical="top" wrapText="1"/>
    </xf>
    <xf numFmtId="0" fontId="1" fillId="6" borderId="12" xfId="0" applyFont="1" applyFill="1" applyBorder="1" applyAlignment="1">
      <alignment vertical="top" wrapText="1"/>
    </xf>
    <xf numFmtId="0" fontId="4" fillId="6" borderId="12" xfId="0" applyFont="1" applyFill="1" applyBorder="1" applyAlignment="1">
      <alignment vertical="top" wrapText="1"/>
    </xf>
    <xf numFmtId="0" fontId="4" fillId="6" borderId="36" xfId="0" applyFont="1" applyFill="1" applyBorder="1" applyAlignment="1">
      <alignment vertical="top" wrapText="1"/>
    </xf>
    <xf numFmtId="0" fontId="0" fillId="6" borderId="35" xfId="0" applyFill="1" applyBorder="1" applyAlignment="1">
      <alignment horizontal="left" vertical="top" wrapText="1"/>
    </xf>
    <xf numFmtId="3" fontId="2" fillId="6" borderId="12" xfId="0" applyNumberFormat="1" applyFont="1" applyFill="1" applyBorder="1" applyAlignment="1">
      <alignment horizontal="left" vertical="top" wrapText="1"/>
    </xf>
    <xf numFmtId="0" fontId="0" fillId="0" borderId="36" xfId="0" applyBorder="1" applyAlignment="1">
      <alignment horizontal="left" vertical="top" wrapText="1"/>
    </xf>
    <xf numFmtId="164" fontId="2" fillId="7" borderId="38" xfId="0" applyNumberFormat="1" applyFont="1" applyFill="1" applyBorder="1" applyAlignment="1">
      <alignment horizontal="center" vertical="top" wrapText="1"/>
    </xf>
    <xf numFmtId="0" fontId="0" fillId="0" borderId="12" xfId="0" applyBorder="1" applyAlignment="1">
      <alignment horizontal="center" vertical="top" wrapText="1"/>
    </xf>
    <xf numFmtId="3" fontId="1" fillId="6" borderId="38" xfId="0" applyNumberFormat="1" applyFont="1" applyFill="1" applyBorder="1" applyAlignment="1">
      <alignment horizontal="left" vertical="top" wrapText="1"/>
    </xf>
    <xf numFmtId="0" fontId="17" fillId="6" borderId="36" xfId="0" applyFont="1" applyFill="1" applyBorder="1" applyAlignment="1">
      <alignment wrapText="1"/>
    </xf>
    <xf numFmtId="3" fontId="1" fillId="6" borderId="71" xfId="0" applyNumberFormat="1"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0" fontId="1" fillId="6" borderId="17" xfId="0" applyFont="1" applyFill="1" applyBorder="1" applyAlignment="1">
      <alignment horizontal="left" vertical="top" wrapText="1"/>
    </xf>
    <xf numFmtId="0" fontId="13" fillId="6" borderId="35" xfId="0" applyFont="1" applyFill="1" applyBorder="1" applyAlignment="1">
      <alignment horizontal="left" vertical="top" wrapText="1"/>
    </xf>
    <xf numFmtId="0" fontId="1" fillId="6" borderId="36" xfId="0" applyFont="1" applyFill="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7" fillId="6" borderId="12" xfId="0" applyNumberFormat="1" applyFont="1" applyFill="1" applyBorder="1" applyAlignment="1">
      <alignment vertical="center" textRotation="90" wrapText="1"/>
    </xf>
    <xf numFmtId="3" fontId="2" fillId="6" borderId="20"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0" fontId="17" fillId="0" borderId="36" xfId="0" applyFont="1" applyBorder="1" applyAlignment="1">
      <alignment horizontal="left" vertical="top" wrapText="1"/>
    </xf>
    <xf numFmtId="0" fontId="1" fillId="6" borderId="38" xfId="0" applyFont="1" applyFill="1" applyBorder="1" applyAlignment="1">
      <alignment horizontal="left" vertical="top" wrapText="1"/>
    </xf>
    <xf numFmtId="0" fontId="1" fillId="6" borderId="12" xfId="0" applyFont="1" applyFill="1" applyBorder="1" applyAlignment="1">
      <alignment horizontal="left" vertical="top" wrapText="1"/>
    </xf>
    <xf numFmtId="0" fontId="4" fillId="0" borderId="12" xfId="0" applyFont="1" applyBorder="1" applyAlignment="1">
      <alignment horizontal="left"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1" fillId="0" borderId="72"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61" xfId="0" applyNumberFormat="1" applyFont="1" applyFill="1" applyBorder="1" applyAlignment="1">
      <alignment horizontal="left" vertical="top" wrapText="1"/>
    </xf>
    <xf numFmtId="3" fontId="8" fillId="4" borderId="14" xfId="0" applyNumberFormat="1" applyFont="1" applyFill="1" applyBorder="1" applyAlignment="1">
      <alignment horizontal="center" vertical="top"/>
    </xf>
    <xf numFmtId="3" fontId="8" fillId="5" borderId="12" xfId="0" applyNumberFormat="1" applyFont="1" applyFill="1" applyBorder="1" applyAlignment="1">
      <alignment horizontal="center" vertical="top"/>
    </xf>
    <xf numFmtId="3" fontId="8" fillId="6" borderId="58" xfId="0" applyNumberFormat="1" applyFont="1" applyFill="1" applyBorder="1" applyAlignment="1">
      <alignment horizontal="center" vertical="top"/>
    </xf>
    <xf numFmtId="0" fontId="0" fillId="0" borderId="80" xfId="0" applyBorder="1" applyAlignment="1">
      <alignment horizontal="left" vertical="top" wrapText="1"/>
    </xf>
    <xf numFmtId="3" fontId="8" fillId="6" borderId="43" xfId="0" applyNumberFormat="1" applyFont="1" applyFill="1" applyBorder="1" applyAlignment="1">
      <alignment horizontal="center"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165" fontId="1" fillId="9" borderId="11" xfId="3" applyFont="1" applyFill="1" applyBorder="1" applyAlignment="1">
      <alignment horizontal="left" vertical="top" wrapText="1"/>
    </xf>
    <xf numFmtId="0" fontId="0" fillId="0" borderId="11" xfId="0" applyBorder="1" applyAlignment="1">
      <alignment horizontal="left" vertical="top" wrapText="1"/>
    </xf>
    <xf numFmtId="3" fontId="24" fillId="6" borderId="0" xfId="0" applyNumberFormat="1" applyFont="1" applyFill="1" applyAlignment="1">
      <alignment horizontal="left" vertical="top" wrapText="1"/>
    </xf>
    <xf numFmtId="0" fontId="33" fillId="6" borderId="0" xfId="0" applyFont="1" applyFill="1" applyAlignment="1">
      <alignment vertical="top"/>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2" fillId="8" borderId="31" xfId="0" applyNumberFormat="1" applyFont="1" applyFill="1" applyBorder="1" applyAlignment="1">
      <alignment horizontal="right"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1" fillId="0" borderId="74" xfId="0" applyNumberFormat="1" applyFont="1" applyFill="1" applyBorder="1" applyAlignment="1">
      <alignment horizontal="left" vertical="top" wrapText="1"/>
    </xf>
    <xf numFmtId="0" fontId="13" fillId="0" borderId="74" xfId="0" applyFont="1" applyFill="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0" fontId="2" fillId="0" borderId="6" xfId="0" applyFont="1" applyBorder="1" applyAlignment="1">
      <alignment horizontal="center" vertical="center" textRotation="90" shrinkToFit="1"/>
    </xf>
    <xf numFmtId="0" fontId="2" fillId="0" borderId="15" xfId="0" applyFont="1" applyBorder="1" applyAlignment="1">
      <alignment horizontal="center" vertical="center" textRotation="90" shrinkToFit="1"/>
    </xf>
    <xf numFmtId="0" fontId="2" fillId="0" borderId="27" xfId="0" applyFont="1" applyBorder="1" applyAlignment="1">
      <alignment horizontal="center" vertical="center" textRotation="90" shrinkToFi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164" fontId="1" fillId="0" borderId="5" xfId="0" applyNumberFormat="1"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19" fillId="6" borderId="14" xfId="0" applyFont="1" applyFill="1" applyBorder="1" applyAlignment="1">
      <alignment horizontal="left" vertical="top" wrapText="1"/>
    </xf>
    <xf numFmtId="0" fontId="36" fillId="0" borderId="79" xfId="0" applyFont="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20" xfId="0" applyNumberFormat="1" applyFont="1" applyFill="1" applyBorder="1" applyAlignment="1">
      <alignment horizontal="left" vertical="top" wrapText="1"/>
    </xf>
    <xf numFmtId="0" fontId="0" fillId="0" borderId="43" xfId="0" applyBorder="1" applyAlignment="1">
      <alignment horizontal="left" vertical="top" wrapText="1"/>
    </xf>
    <xf numFmtId="0" fontId="0" fillId="0" borderId="37" xfId="0" applyBorder="1" applyAlignment="1">
      <alignment horizontal="left" vertical="top" wrapText="1"/>
    </xf>
    <xf numFmtId="3" fontId="1" fillId="6" borderId="57" xfId="0" applyNumberFormat="1" applyFont="1" applyFill="1" applyBorder="1" applyAlignment="1">
      <alignment horizontal="left" vertical="top" wrapText="1"/>
    </xf>
    <xf numFmtId="0" fontId="0" fillId="0" borderId="29" xfId="0" applyBorder="1" applyAlignment="1">
      <alignment vertical="top" wrapText="1"/>
    </xf>
    <xf numFmtId="49" fontId="1" fillId="6" borderId="43" xfId="0" applyNumberFormat="1" applyFont="1" applyFill="1" applyBorder="1" applyAlignment="1">
      <alignment horizontal="left" vertical="top" wrapText="1"/>
    </xf>
    <xf numFmtId="0" fontId="0" fillId="0" borderId="43" xfId="0" applyBorder="1" applyAlignment="1">
      <alignment vertical="top"/>
    </xf>
    <xf numFmtId="0" fontId="1" fillId="6" borderId="20" xfId="0" applyFont="1" applyFill="1" applyBorder="1" applyAlignment="1">
      <alignment horizontal="left" vertical="top" wrapText="1"/>
    </xf>
    <xf numFmtId="0" fontId="1" fillId="6" borderId="37" xfId="0" applyFont="1" applyFill="1" applyBorder="1" applyAlignment="1">
      <alignment horizontal="left" vertical="top" wrapText="1"/>
    </xf>
    <xf numFmtId="3" fontId="1" fillId="6" borderId="37" xfId="0" applyNumberFormat="1" applyFont="1" applyFill="1" applyBorder="1" applyAlignment="1">
      <alignment horizontal="left" vertical="top" wrapText="1"/>
    </xf>
    <xf numFmtId="49" fontId="1" fillId="6" borderId="57" xfId="0" applyNumberFormat="1" applyFont="1" applyFill="1" applyBorder="1" applyAlignment="1">
      <alignment horizontal="left" vertical="top" wrapText="1"/>
    </xf>
    <xf numFmtId="49" fontId="1" fillId="6" borderId="29" xfId="0" applyNumberFormat="1" applyFont="1" applyFill="1" applyBorder="1" applyAlignment="1">
      <alignment horizontal="left" vertical="top" wrapText="1"/>
    </xf>
    <xf numFmtId="0" fontId="1" fillId="6" borderId="11" xfId="0" applyFont="1" applyFill="1" applyBorder="1" applyAlignment="1">
      <alignment vertical="top" wrapText="1"/>
    </xf>
    <xf numFmtId="0" fontId="17" fillId="6" borderId="35" xfId="0" applyFont="1" applyFill="1" applyBorder="1" applyAlignment="1">
      <alignment vertical="top" wrapText="1"/>
    </xf>
    <xf numFmtId="3" fontId="1" fillId="6" borderId="83"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center" textRotation="90" wrapText="1"/>
    </xf>
    <xf numFmtId="0" fontId="32" fillId="0" borderId="36" xfId="0" applyFont="1" applyBorder="1" applyAlignment="1">
      <alignment horizontal="center" vertical="center" wrapText="1"/>
    </xf>
    <xf numFmtId="3" fontId="8" fillId="8" borderId="53" xfId="0" applyNumberFormat="1" applyFont="1" applyFill="1" applyBorder="1" applyAlignment="1">
      <alignment horizontal="center" vertical="top"/>
    </xf>
    <xf numFmtId="3" fontId="8" fillId="8" borderId="58" xfId="0" applyNumberFormat="1" applyFont="1" applyFill="1" applyBorder="1" applyAlignment="1">
      <alignment horizontal="center" vertical="top"/>
    </xf>
    <xf numFmtId="3" fontId="2" fillId="6" borderId="33" xfId="0" applyNumberFormat="1" applyFont="1" applyFill="1" applyBorder="1" applyAlignment="1">
      <alignment horizontal="left" vertical="top" wrapText="1"/>
    </xf>
    <xf numFmtId="3" fontId="2" fillId="6" borderId="38" xfId="0" applyNumberFormat="1" applyFont="1" applyFill="1" applyBorder="1" applyAlignment="1">
      <alignment horizontal="left" vertical="top" wrapText="1"/>
    </xf>
    <xf numFmtId="0" fontId="13" fillId="6" borderId="60" xfId="0" applyFont="1" applyFill="1" applyBorder="1" applyAlignment="1">
      <alignment horizontal="center" vertical="top" wrapText="1"/>
    </xf>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13" fillId="6" borderId="16" xfId="0" applyFont="1" applyFill="1" applyBorder="1" applyAlignment="1">
      <alignment horizontal="center"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1" fillId="6" borderId="7" xfId="0" applyNumberFormat="1" applyFont="1" applyFill="1" applyBorder="1" applyAlignment="1">
      <alignment horizontal="center" vertical="center" wrapText="1"/>
    </xf>
    <xf numFmtId="0" fontId="17" fillId="6" borderId="16" xfId="0" applyFont="1" applyFill="1" applyBorder="1" applyAlignment="1">
      <alignment horizontal="center" wrapText="1"/>
    </xf>
    <xf numFmtId="0" fontId="0" fillId="0" borderId="16" xfId="0" applyBorder="1" applyAlignment="1">
      <alignment horizontal="center" wrapText="1"/>
    </xf>
    <xf numFmtId="3" fontId="1" fillId="0" borderId="38"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0" fontId="13" fillId="0" borderId="11" xfId="0" applyFont="1" applyBorder="1" applyAlignment="1">
      <alignment horizontal="left" vertical="top" wrapText="1"/>
    </xf>
    <xf numFmtId="0" fontId="0" fillId="0" borderId="35" xfId="0" applyBorder="1" applyAlignment="1">
      <alignment vertical="top" wrapText="1"/>
    </xf>
    <xf numFmtId="0" fontId="12" fillId="6" borderId="11" xfId="0" applyFont="1" applyFill="1" applyBorder="1" applyAlignment="1">
      <alignment vertical="top" wrapText="1"/>
    </xf>
    <xf numFmtId="49" fontId="1" fillId="6" borderId="12" xfId="0" applyNumberFormat="1" applyFont="1" applyFill="1" applyBorder="1" applyAlignment="1">
      <alignment vertical="center" textRotation="90" wrapText="1"/>
    </xf>
    <xf numFmtId="0" fontId="1" fillId="6" borderId="12" xfId="0" applyFont="1" applyFill="1" applyBorder="1" applyAlignment="1">
      <alignment vertical="center" textRotation="90" wrapText="1"/>
    </xf>
    <xf numFmtId="0" fontId="1" fillId="6" borderId="36" xfId="0" applyFont="1" applyFill="1" applyBorder="1" applyAlignment="1">
      <alignment vertical="center" textRotation="90" wrapText="1"/>
    </xf>
    <xf numFmtId="0" fontId="17" fillId="6" borderId="15" xfId="0" applyFont="1" applyFill="1" applyBorder="1" applyAlignment="1">
      <alignment horizontal="center" vertical="top" wrapText="1"/>
    </xf>
    <xf numFmtId="0" fontId="17" fillId="6" borderId="60" xfId="0" applyFont="1" applyFill="1" applyBorder="1" applyAlignment="1">
      <alignment horizontal="center" vertical="top" wrapText="1"/>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4" fillId="0" borderId="27" xfId="0" applyNumberFormat="1" applyFont="1" applyBorder="1" applyAlignment="1">
      <alignment horizontal="center" vertical="top" wrapText="1"/>
    </xf>
    <xf numFmtId="3" fontId="6" fillId="6" borderId="83"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top" wrapText="1"/>
    </xf>
    <xf numFmtId="3" fontId="1" fillId="0" borderId="83" xfId="0" applyNumberFormat="1" applyFont="1" applyBorder="1" applyAlignment="1">
      <alignment horizontal="center" vertical="top" wrapText="1"/>
    </xf>
    <xf numFmtId="0" fontId="17" fillId="0" borderId="60" xfId="0" applyFont="1" applyBorder="1" applyAlignment="1">
      <alignment horizontal="center" vertical="top"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3" fontId="1" fillId="6" borderId="6"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6" fillId="0" borderId="74" xfId="0" applyNumberFormat="1" applyFont="1" applyBorder="1" applyAlignment="1">
      <alignment horizontal="center" vertical="top" wrapText="1"/>
    </xf>
    <xf numFmtId="3" fontId="6" fillId="0" borderId="0" xfId="0" applyNumberFormat="1" applyFont="1" applyBorder="1" applyAlignment="1">
      <alignment horizontal="center" vertical="top" wrapText="1"/>
    </xf>
    <xf numFmtId="3" fontId="17" fillId="0" borderId="0" xfId="0" applyNumberFormat="1" applyFont="1" applyBorder="1" applyAlignment="1">
      <alignment horizontal="center" vertical="top" wrapText="1"/>
    </xf>
    <xf numFmtId="164" fontId="1" fillId="6" borderId="0" xfId="0" applyNumberFormat="1" applyFont="1" applyFill="1" applyBorder="1" applyAlignment="1">
      <alignment horizontal="center" vertical="top" wrapText="1"/>
    </xf>
    <xf numFmtId="0" fontId="13" fillId="6" borderId="61" xfId="0"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8" fillId="8" borderId="19" xfId="0" applyNumberFormat="1" applyFont="1" applyFill="1" applyBorder="1" applyAlignment="1">
      <alignment horizontal="center" vertical="top"/>
    </xf>
    <xf numFmtId="3" fontId="8" fillId="8" borderId="71" xfId="0" applyNumberFormat="1" applyFont="1" applyFill="1" applyBorder="1" applyAlignment="1">
      <alignment horizontal="center" vertical="top"/>
    </xf>
    <xf numFmtId="3" fontId="8" fillId="8" borderId="72" xfId="0" applyNumberFormat="1" applyFont="1" applyFill="1" applyBorder="1" applyAlignment="1">
      <alignment horizontal="center" vertical="top"/>
    </xf>
    <xf numFmtId="0" fontId="1" fillId="6" borderId="12" xfId="0" applyFont="1" applyFill="1" applyBorder="1" applyAlignment="1">
      <alignment horizontal="center" vertical="center" textRotation="90" wrapText="1"/>
    </xf>
    <xf numFmtId="49" fontId="1" fillId="6" borderId="15" xfId="0" applyNumberFormat="1" applyFont="1" applyFill="1" applyBorder="1" applyAlignment="1">
      <alignment horizontal="center" vertical="center"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3" fontId="1" fillId="0" borderId="60" xfId="0" applyNumberFormat="1" applyFont="1" applyBorder="1" applyAlignment="1">
      <alignment horizontal="center" vertical="top" wrapText="1"/>
    </xf>
    <xf numFmtId="0" fontId="17" fillId="6" borderId="12" xfId="0" applyFont="1" applyFill="1" applyBorder="1" applyAlignment="1">
      <alignment wrapText="1"/>
    </xf>
    <xf numFmtId="0" fontId="4" fillId="0" borderId="36" xfId="0" applyFont="1" applyBorder="1" applyAlignment="1">
      <alignment horizontal="left" vertical="top" wrapText="1"/>
    </xf>
    <xf numFmtId="49" fontId="1" fillId="6" borderId="70" xfId="0" applyNumberFormat="1" applyFont="1" applyFill="1" applyBorder="1" applyAlignment="1">
      <alignment horizontal="center" vertical="top" wrapText="1"/>
    </xf>
    <xf numFmtId="0" fontId="4" fillId="0" borderId="16" xfId="0" applyFont="1" applyBorder="1" applyAlignment="1">
      <alignment horizontal="center" vertical="top" wrapText="1"/>
    </xf>
    <xf numFmtId="0" fontId="4" fillId="0" borderId="52" xfId="0" applyFont="1" applyBorder="1" applyAlignment="1">
      <alignment horizontal="center" vertical="top" wrapText="1"/>
    </xf>
    <xf numFmtId="3" fontId="15" fillId="6" borderId="38" xfId="0" applyNumberFormat="1" applyFont="1" applyFill="1" applyBorder="1" applyAlignment="1">
      <alignment horizontal="left" vertical="top" wrapText="1"/>
    </xf>
    <xf numFmtId="3" fontId="9" fillId="6" borderId="12" xfId="0" applyNumberFormat="1" applyFont="1" applyFill="1" applyBorder="1" applyAlignment="1">
      <alignment horizontal="left" vertical="top" wrapText="1"/>
    </xf>
    <xf numFmtId="3" fontId="1" fillId="0" borderId="7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0" fontId="1" fillId="6" borderId="69" xfId="0" applyFont="1" applyFill="1" applyBorder="1" applyAlignment="1">
      <alignment horizontal="left" vertical="top" wrapText="1"/>
    </xf>
    <xf numFmtId="0" fontId="38" fillId="0" borderId="79" xfId="0" applyFont="1" applyBorder="1" applyAlignment="1">
      <alignment horizontal="left" vertical="top" wrapText="1"/>
    </xf>
    <xf numFmtId="0" fontId="13" fillId="6" borderId="15" xfId="0" applyFont="1" applyFill="1" applyBorder="1" applyAlignment="1">
      <alignment vertical="top"/>
    </xf>
    <xf numFmtId="0" fontId="15" fillId="0" borderId="11" xfId="0" applyFont="1" applyBorder="1" applyAlignment="1">
      <alignment vertical="top" wrapText="1"/>
    </xf>
    <xf numFmtId="3" fontId="1" fillId="6" borderId="70" xfId="0" applyNumberFormat="1" applyFont="1" applyFill="1" applyBorder="1" applyAlignment="1">
      <alignment horizontal="center" vertical="top" wrapText="1"/>
    </xf>
    <xf numFmtId="0" fontId="13" fillId="0" borderId="16" xfId="0" applyFont="1" applyBorder="1" applyAlignment="1">
      <alignment horizontal="center" wrapText="1"/>
    </xf>
    <xf numFmtId="49" fontId="2" fillId="6" borderId="20" xfId="0" applyNumberFormat="1" applyFont="1" applyFill="1" applyBorder="1" applyAlignment="1">
      <alignment horizontal="center" vertical="top"/>
    </xf>
    <xf numFmtId="0" fontId="1" fillId="6" borderId="11" xfId="1" applyFont="1" applyFill="1" applyBorder="1" applyAlignment="1">
      <alignment vertical="top" wrapText="1"/>
    </xf>
    <xf numFmtId="0" fontId="17" fillId="6" borderId="11" xfId="0" applyFont="1" applyFill="1" applyBorder="1" applyAlignment="1">
      <alignment vertical="top" wrapText="1"/>
    </xf>
    <xf numFmtId="3" fontId="16" fillId="0" borderId="7" xfId="0" applyNumberFormat="1" applyFont="1" applyBorder="1" applyAlignment="1">
      <alignment horizontal="center" vertical="top" wrapText="1"/>
    </xf>
    <xf numFmtId="3" fontId="16" fillId="0" borderId="16" xfId="0" applyNumberFormat="1" applyFont="1" applyBorder="1" applyAlignment="1">
      <alignment horizontal="center" vertical="top" wrapText="1"/>
    </xf>
    <xf numFmtId="3" fontId="16" fillId="0" borderId="28" xfId="0" applyNumberFormat="1" applyFont="1" applyBorder="1" applyAlignment="1">
      <alignment horizontal="center" vertical="top" wrapText="1"/>
    </xf>
    <xf numFmtId="3" fontId="4" fillId="0" borderId="60" xfId="0" applyNumberFormat="1" applyFont="1" applyBorder="1" applyAlignment="1">
      <alignment horizontal="center" vertical="top" wrapText="1"/>
    </xf>
    <xf numFmtId="3" fontId="8" fillId="6" borderId="37" xfId="0" applyNumberFormat="1" applyFont="1" applyFill="1" applyBorder="1" applyAlignment="1">
      <alignment horizontal="center" vertical="top"/>
    </xf>
  </cellXfs>
  <cellStyles count="4">
    <cellStyle name="Excel Built-in Normal" xfId="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3"/>
  <sheetViews>
    <sheetView tabSelected="1" topLeftCell="A184" zoomScaleNormal="100" zoomScaleSheetLayoutView="100" workbookViewId="0">
      <selection activeCell="W11" sqref="W11"/>
    </sheetView>
  </sheetViews>
  <sheetFormatPr defaultColWidth="9.140625" defaultRowHeight="12.75" x14ac:dyDescent="0.2"/>
  <cols>
    <col min="1" max="1" width="2.85546875" style="305" customWidth="1"/>
    <col min="2" max="2" width="3.140625" style="305" customWidth="1"/>
    <col min="3" max="3" width="2.85546875" style="305" customWidth="1"/>
    <col min="4" max="4" width="32.85546875" style="305" customWidth="1"/>
    <col min="5" max="5" width="3.7109375" style="305" customWidth="1"/>
    <col min="6" max="6" width="3.85546875" style="305" customWidth="1"/>
    <col min="7" max="7" width="8.5703125" style="305" customWidth="1"/>
    <col min="8" max="10" width="9.140625" style="305" customWidth="1"/>
    <col min="11" max="11" width="34" style="305" customWidth="1"/>
    <col min="12" max="12" width="4.7109375" style="305" customWidth="1"/>
    <col min="13" max="14" width="4.42578125" style="305" customWidth="1"/>
    <col min="15" max="16384" width="9.140625" style="305"/>
  </cols>
  <sheetData>
    <row r="1" spans="1:30" s="1" customFormat="1" ht="33" customHeight="1" x14ac:dyDescent="0.25">
      <c r="A1" s="169"/>
      <c r="B1" s="170"/>
      <c r="C1" s="744"/>
      <c r="E1" s="171"/>
      <c r="F1" s="172"/>
      <c r="G1" s="172"/>
      <c r="H1" s="173"/>
      <c r="I1" s="174"/>
      <c r="J1" s="174"/>
      <c r="K1" s="1225" t="s">
        <v>193</v>
      </c>
      <c r="L1" s="1225"/>
      <c r="M1" s="1225"/>
      <c r="N1" s="1226"/>
      <c r="O1" s="39"/>
      <c r="P1" s="39"/>
      <c r="Q1" s="39"/>
      <c r="R1" s="39"/>
      <c r="S1" s="39"/>
      <c r="T1" s="39"/>
      <c r="U1" s="39"/>
      <c r="V1" s="39"/>
      <c r="W1" s="39"/>
      <c r="X1" s="39"/>
      <c r="Y1" s="39"/>
      <c r="Z1" s="39"/>
      <c r="AA1" s="39"/>
      <c r="AB1" s="39"/>
      <c r="AC1" s="39"/>
      <c r="AD1" s="39"/>
    </row>
    <row r="2" spans="1:30" s="1" customFormat="1" ht="15" customHeight="1" x14ac:dyDescent="0.25">
      <c r="A2" s="169"/>
      <c r="B2" s="170"/>
      <c r="C2" s="744"/>
      <c r="E2" s="171"/>
      <c r="F2" s="172"/>
      <c r="G2" s="172"/>
      <c r="H2" s="173"/>
      <c r="I2" s="174"/>
      <c r="J2" s="174"/>
      <c r="K2" s="777" t="s">
        <v>190</v>
      </c>
      <c r="L2" s="777"/>
      <c r="M2" s="777"/>
      <c r="N2" s="778"/>
      <c r="O2" s="39"/>
      <c r="P2" s="39"/>
      <c r="Q2" s="39"/>
      <c r="R2" s="39"/>
      <c r="S2" s="39"/>
      <c r="T2" s="39"/>
      <c r="U2" s="39"/>
      <c r="V2" s="39"/>
      <c r="W2" s="39"/>
      <c r="X2" s="39"/>
      <c r="Y2" s="39"/>
      <c r="Z2" s="39"/>
      <c r="AA2" s="39"/>
      <c r="AB2" s="39"/>
      <c r="AC2" s="39"/>
      <c r="AD2" s="39"/>
    </row>
    <row r="3" spans="1:30" s="1" customFormat="1" ht="11.25" customHeight="1" x14ac:dyDescent="0.25">
      <c r="A3" s="169"/>
      <c r="B3" s="170"/>
      <c r="C3" s="744"/>
      <c r="E3" s="171"/>
      <c r="F3" s="172"/>
      <c r="G3" s="172"/>
      <c r="H3" s="173"/>
      <c r="I3" s="174"/>
      <c r="J3" s="174"/>
      <c r="K3" s="335"/>
      <c r="L3" s="335"/>
      <c r="M3" s="335"/>
      <c r="O3" s="39"/>
      <c r="P3" s="39"/>
      <c r="Q3" s="39"/>
      <c r="R3" s="39"/>
      <c r="S3" s="39"/>
      <c r="T3" s="39"/>
      <c r="U3" s="39"/>
      <c r="V3" s="39"/>
      <c r="W3" s="39"/>
      <c r="X3" s="39"/>
      <c r="Y3" s="39"/>
      <c r="Z3" s="39"/>
      <c r="AA3" s="39"/>
      <c r="AB3" s="39"/>
      <c r="AC3" s="39"/>
      <c r="AD3" s="39"/>
    </row>
    <row r="4" spans="1:30" ht="14.25" customHeight="1" x14ac:dyDescent="0.25">
      <c r="K4" s="1004"/>
      <c r="L4" s="1005"/>
      <c r="M4" s="1005"/>
      <c r="N4" s="1005"/>
    </row>
    <row r="5" spans="1:30" s="257" customFormat="1" ht="15.75" x14ac:dyDescent="0.25">
      <c r="A5" s="1006" t="s">
        <v>189</v>
      </c>
      <c r="B5" s="1006"/>
      <c r="C5" s="1006"/>
      <c r="D5" s="1006"/>
      <c r="E5" s="1006"/>
      <c r="F5" s="1006"/>
      <c r="G5" s="1006"/>
      <c r="H5" s="1006"/>
      <c r="I5" s="1006"/>
      <c r="J5" s="1006"/>
      <c r="K5" s="1006"/>
      <c r="L5" s="1006"/>
      <c r="M5" s="1006"/>
      <c r="N5" s="1006"/>
    </row>
    <row r="6" spans="1:30" s="257" customFormat="1" ht="15.75" x14ac:dyDescent="0.25">
      <c r="A6" s="1007" t="s">
        <v>0</v>
      </c>
      <c r="B6" s="1007"/>
      <c r="C6" s="1007"/>
      <c r="D6" s="1007"/>
      <c r="E6" s="1007"/>
      <c r="F6" s="1007"/>
      <c r="G6" s="1007"/>
      <c r="H6" s="1007"/>
      <c r="I6" s="1007"/>
      <c r="J6" s="1007"/>
      <c r="K6" s="1007"/>
      <c r="L6" s="1007"/>
      <c r="M6" s="1007"/>
      <c r="N6" s="1007"/>
    </row>
    <row r="7" spans="1:30" s="257" customFormat="1" ht="15.75" x14ac:dyDescent="0.25">
      <c r="A7" s="1008" t="s">
        <v>1</v>
      </c>
      <c r="B7" s="1008"/>
      <c r="C7" s="1008"/>
      <c r="D7" s="1008"/>
      <c r="E7" s="1008"/>
      <c r="F7" s="1008"/>
      <c r="G7" s="1008"/>
      <c r="H7" s="1008"/>
      <c r="I7" s="1008"/>
      <c r="J7" s="1008"/>
      <c r="K7" s="1008"/>
      <c r="L7" s="1008"/>
      <c r="M7" s="1008"/>
      <c r="N7" s="1008"/>
    </row>
    <row r="8" spans="1:30" s="257" customFormat="1" ht="13.5" thickBot="1" x14ac:dyDescent="0.3">
      <c r="A8" s="1"/>
      <c r="B8" s="1"/>
      <c r="C8" s="1"/>
      <c r="D8" s="1"/>
      <c r="E8" s="1"/>
      <c r="F8" s="2"/>
      <c r="G8" s="172"/>
      <c r="H8" s="172"/>
      <c r="I8" s="172"/>
      <c r="J8" s="172"/>
      <c r="K8" s="1009" t="s">
        <v>81</v>
      </c>
      <c r="L8" s="1009"/>
      <c r="M8" s="1009"/>
      <c r="N8" s="1010"/>
    </row>
    <row r="9" spans="1:30" s="257" customFormat="1" ht="50.25" customHeight="1" x14ac:dyDescent="0.25">
      <c r="A9" s="1011" t="s">
        <v>2</v>
      </c>
      <c r="B9" s="1014" t="s">
        <v>3</v>
      </c>
      <c r="C9" s="1014" t="s">
        <v>4</v>
      </c>
      <c r="D9" s="1017" t="s">
        <v>6</v>
      </c>
      <c r="E9" s="1033" t="s">
        <v>7</v>
      </c>
      <c r="F9" s="1036" t="s">
        <v>8</v>
      </c>
      <c r="G9" s="1039" t="s">
        <v>10</v>
      </c>
      <c r="H9" s="1042" t="s">
        <v>188</v>
      </c>
      <c r="I9" s="1020" t="s">
        <v>111</v>
      </c>
      <c r="J9" s="1020" t="s">
        <v>154</v>
      </c>
      <c r="K9" s="1023" t="s">
        <v>11</v>
      </c>
      <c r="L9" s="1024"/>
      <c r="M9" s="1024"/>
      <c r="N9" s="1025"/>
    </row>
    <row r="10" spans="1:30" s="257" customFormat="1" ht="18.75" customHeight="1" x14ac:dyDescent="0.25">
      <c r="A10" s="1012"/>
      <c r="B10" s="1015"/>
      <c r="C10" s="1015"/>
      <c r="D10" s="1018"/>
      <c r="E10" s="1034"/>
      <c r="F10" s="1037"/>
      <c r="G10" s="1040"/>
      <c r="H10" s="1043"/>
      <c r="I10" s="1021"/>
      <c r="J10" s="1021"/>
      <c r="K10" s="1026" t="s">
        <v>6</v>
      </c>
      <c r="L10" s="1028" t="s">
        <v>140</v>
      </c>
      <c r="M10" s="1028"/>
      <c r="N10" s="1029"/>
    </row>
    <row r="11" spans="1:30" s="257" customFormat="1" ht="49.5" customHeight="1" thickBot="1" x14ac:dyDescent="0.3">
      <c r="A11" s="1013"/>
      <c r="B11" s="1016"/>
      <c r="C11" s="1016"/>
      <c r="D11" s="1019"/>
      <c r="E11" s="1035"/>
      <c r="F11" s="1038"/>
      <c r="G11" s="1041"/>
      <c r="H11" s="1044"/>
      <c r="I11" s="1022"/>
      <c r="J11" s="1022"/>
      <c r="K11" s="1027"/>
      <c r="L11" s="80" t="s">
        <v>90</v>
      </c>
      <c r="M11" s="80" t="s">
        <v>112</v>
      </c>
      <c r="N11" s="81" t="s">
        <v>155</v>
      </c>
    </row>
    <row r="12" spans="1:30" s="3" customFormat="1" ht="13.5" customHeight="1" x14ac:dyDescent="0.2">
      <c r="A12" s="1030" t="s">
        <v>12</v>
      </c>
      <c r="B12" s="1031"/>
      <c r="C12" s="1031"/>
      <c r="D12" s="1031"/>
      <c r="E12" s="1031"/>
      <c r="F12" s="1031"/>
      <c r="G12" s="1031"/>
      <c r="H12" s="1031"/>
      <c r="I12" s="1031"/>
      <c r="J12" s="1031"/>
      <c r="K12" s="1031"/>
      <c r="L12" s="1031"/>
      <c r="M12" s="1031"/>
      <c r="N12" s="1032"/>
    </row>
    <row r="13" spans="1:30" s="3" customFormat="1" x14ac:dyDescent="0.2">
      <c r="A13" s="1054" t="s">
        <v>13</v>
      </c>
      <c r="B13" s="1055"/>
      <c r="C13" s="1055"/>
      <c r="D13" s="1055"/>
      <c r="E13" s="1055"/>
      <c r="F13" s="1055"/>
      <c r="G13" s="1055"/>
      <c r="H13" s="1055"/>
      <c r="I13" s="1055"/>
      <c r="J13" s="1055"/>
      <c r="K13" s="1055"/>
      <c r="L13" s="1055"/>
      <c r="M13" s="1055"/>
      <c r="N13" s="1056"/>
    </row>
    <row r="14" spans="1:30" s="257" customFormat="1" ht="15" customHeight="1" x14ac:dyDescent="0.25">
      <c r="A14" s="4" t="s">
        <v>14</v>
      </c>
      <c r="B14" s="1057" t="s">
        <v>15</v>
      </c>
      <c r="C14" s="1058"/>
      <c r="D14" s="1058"/>
      <c r="E14" s="1058"/>
      <c r="F14" s="1058"/>
      <c r="G14" s="1058"/>
      <c r="H14" s="1058"/>
      <c r="I14" s="1058"/>
      <c r="J14" s="1058"/>
      <c r="K14" s="1058"/>
      <c r="L14" s="1058"/>
      <c r="M14" s="1058"/>
      <c r="N14" s="1059"/>
    </row>
    <row r="15" spans="1:30" s="257" customFormat="1" ht="14.25" customHeight="1" x14ac:dyDescent="0.25">
      <c r="A15" s="5" t="s">
        <v>14</v>
      </c>
      <c r="B15" s="6" t="s">
        <v>14</v>
      </c>
      <c r="C15" s="1060" t="s">
        <v>16</v>
      </c>
      <c r="D15" s="1061"/>
      <c r="E15" s="1061"/>
      <c r="F15" s="1061"/>
      <c r="G15" s="1062"/>
      <c r="H15" s="1062"/>
      <c r="I15" s="1062"/>
      <c r="J15" s="1062"/>
      <c r="K15" s="1061"/>
      <c r="L15" s="1061"/>
      <c r="M15" s="1061"/>
      <c r="N15" s="1063"/>
    </row>
    <row r="16" spans="1:30" s="257" customFormat="1" ht="13.5" customHeight="1" x14ac:dyDescent="0.25">
      <c r="A16" s="7" t="s">
        <v>14</v>
      </c>
      <c r="B16" s="8" t="s">
        <v>14</v>
      </c>
      <c r="C16" s="9" t="s">
        <v>14</v>
      </c>
      <c r="D16" s="1074" t="s">
        <v>17</v>
      </c>
      <c r="E16" s="1064" t="s">
        <v>18</v>
      </c>
      <c r="F16" s="1066" t="s">
        <v>20</v>
      </c>
      <c r="G16" s="684" t="s">
        <v>23</v>
      </c>
      <c r="H16" s="71">
        <v>4850</v>
      </c>
      <c r="I16" s="46">
        <v>4850</v>
      </c>
      <c r="J16" s="46">
        <v>4850</v>
      </c>
      <c r="K16" s="268"/>
      <c r="L16" s="180"/>
      <c r="M16" s="339"/>
      <c r="N16" s="359"/>
    </row>
    <row r="17" spans="1:15" s="257" customFormat="1" ht="14.25" customHeight="1" x14ac:dyDescent="0.25">
      <c r="A17" s="7"/>
      <c r="B17" s="8"/>
      <c r="C17" s="9"/>
      <c r="D17" s="1075"/>
      <c r="E17" s="1064"/>
      <c r="F17" s="1066"/>
      <c r="G17" s="75" t="s">
        <v>24</v>
      </c>
      <c r="H17" s="50">
        <v>419.6</v>
      </c>
      <c r="I17" s="47">
        <v>424.1</v>
      </c>
      <c r="J17" s="47">
        <v>428.6</v>
      </c>
      <c r="K17" s="272"/>
      <c r="L17" s="98"/>
      <c r="M17" s="438"/>
      <c r="N17" s="683"/>
    </row>
    <row r="18" spans="1:15" s="257" customFormat="1" ht="14.25" customHeight="1" x14ac:dyDescent="0.25">
      <c r="A18" s="7"/>
      <c r="B18" s="8"/>
      <c r="C18" s="9"/>
      <c r="D18" s="1068" t="s">
        <v>21</v>
      </c>
      <c r="E18" s="1064"/>
      <c r="F18" s="1066"/>
      <c r="G18" s="175"/>
      <c r="H18" s="125"/>
      <c r="I18" s="43"/>
      <c r="J18" s="43"/>
      <c r="K18" s="1070" t="s">
        <v>94</v>
      </c>
      <c r="L18" s="157" t="s">
        <v>114</v>
      </c>
      <c r="M18" s="190" t="s">
        <v>114</v>
      </c>
      <c r="N18" s="184" t="s">
        <v>114</v>
      </c>
    </row>
    <row r="19" spans="1:15" s="257" customFormat="1" ht="13.5" customHeight="1" x14ac:dyDescent="0.25">
      <c r="A19" s="7"/>
      <c r="B19" s="8"/>
      <c r="C19" s="9"/>
      <c r="D19" s="1069"/>
      <c r="E19" s="1064"/>
      <c r="F19" s="1066"/>
      <c r="G19" s="175"/>
      <c r="H19" s="48"/>
      <c r="I19" s="43"/>
      <c r="J19" s="43"/>
      <c r="K19" s="1071"/>
      <c r="L19" s="157"/>
      <c r="M19" s="190"/>
      <c r="N19" s="184"/>
    </row>
    <row r="20" spans="1:15" s="257" customFormat="1" ht="20.25" customHeight="1" x14ac:dyDescent="0.25">
      <c r="A20" s="7"/>
      <c r="B20" s="8"/>
      <c r="C20" s="9"/>
      <c r="D20" s="1072" t="s">
        <v>25</v>
      </c>
      <c r="E20" s="1064"/>
      <c r="F20" s="1066"/>
      <c r="G20" s="75"/>
      <c r="H20" s="50"/>
      <c r="I20" s="47"/>
      <c r="J20" s="47"/>
      <c r="K20" s="1045" t="s">
        <v>94</v>
      </c>
      <c r="L20" s="104" t="s">
        <v>160</v>
      </c>
      <c r="M20" s="189" t="s">
        <v>161</v>
      </c>
      <c r="N20" s="183" t="s">
        <v>162</v>
      </c>
    </row>
    <row r="21" spans="1:15" s="257" customFormat="1" ht="15" customHeight="1" thickBot="1" x14ac:dyDescent="0.3">
      <c r="A21" s="12"/>
      <c r="B21" s="13"/>
      <c r="C21" s="150"/>
      <c r="D21" s="1073"/>
      <c r="E21" s="1065"/>
      <c r="F21" s="1067"/>
      <c r="G21" s="289" t="s">
        <v>27</v>
      </c>
      <c r="H21" s="220">
        <f>SUM(H16:H20)</f>
        <v>5269.6</v>
      </c>
      <c r="I21" s="127">
        <f>SUM(I16:I20)</f>
        <v>5274.1</v>
      </c>
      <c r="J21" s="127">
        <f>SUM(J16:J20)</f>
        <v>5278.6</v>
      </c>
      <c r="K21" s="1046"/>
      <c r="L21" s="89"/>
      <c r="M21" s="191"/>
      <c r="N21" s="185"/>
    </row>
    <row r="22" spans="1:15" s="257" customFormat="1" ht="15" customHeight="1" x14ac:dyDescent="0.25">
      <c r="A22" s="7" t="s">
        <v>14</v>
      </c>
      <c r="B22" s="8" t="s">
        <v>14</v>
      </c>
      <c r="C22" s="151" t="s">
        <v>28</v>
      </c>
      <c r="D22" s="1076" t="s">
        <v>29</v>
      </c>
      <c r="E22" s="262" t="s">
        <v>18</v>
      </c>
      <c r="F22" s="685" t="s">
        <v>20</v>
      </c>
      <c r="G22" s="267" t="s">
        <v>30</v>
      </c>
      <c r="H22" s="161">
        <v>60</v>
      </c>
      <c r="I22" s="110">
        <v>78.5</v>
      </c>
      <c r="J22" s="161">
        <v>78.5</v>
      </c>
      <c r="K22" s="675"/>
      <c r="L22" s="90"/>
      <c r="M22" s="245"/>
      <c r="N22" s="264"/>
    </row>
    <row r="23" spans="1:15" s="257" customFormat="1" ht="22.5" customHeight="1" x14ac:dyDescent="0.25">
      <c r="A23" s="7"/>
      <c r="B23" s="8"/>
      <c r="C23" s="151"/>
      <c r="D23" s="1077"/>
      <c r="E23" s="263"/>
      <c r="F23" s="671"/>
      <c r="G23" s="175" t="s">
        <v>35</v>
      </c>
      <c r="H23" s="42">
        <f>18.5</f>
        <v>18.5</v>
      </c>
      <c r="I23" s="43"/>
      <c r="J23" s="43"/>
      <c r="K23" s="676"/>
      <c r="L23" s="88"/>
      <c r="M23" s="84"/>
      <c r="N23" s="134"/>
    </row>
    <row r="24" spans="1:15" s="257" customFormat="1" ht="26.25" customHeight="1" x14ac:dyDescent="0.25">
      <c r="A24" s="1047"/>
      <c r="B24" s="1048"/>
      <c r="C24" s="1049"/>
      <c r="D24" s="1050" t="s">
        <v>31</v>
      </c>
      <c r="E24" s="1052"/>
      <c r="F24" s="1053"/>
      <c r="G24" s="241"/>
      <c r="H24" s="69"/>
      <c r="I24" s="46"/>
      <c r="J24" s="46"/>
      <c r="K24" s="16" t="s">
        <v>163</v>
      </c>
      <c r="L24" s="194" t="s">
        <v>164</v>
      </c>
      <c r="M24" s="181" t="s">
        <v>164</v>
      </c>
      <c r="N24" s="119" t="s">
        <v>164</v>
      </c>
      <c r="O24" s="456"/>
    </row>
    <row r="25" spans="1:15" s="257" customFormat="1" ht="16.5" customHeight="1" x14ac:dyDescent="0.25">
      <c r="A25" s="1047"/>
      <c r="B25" s="1048"/>
      <c r="C25" s="1049"/>
      <c r="D25" s="1051"/>
      <c r="E25" s="1052"/>
      <c r="F25" s="1053"/>
      <c r="G25" s="175"/>
      <c r="H25" s="42"/>
      <c r="I25" s="43"/>
      <c r="J25" s="43"/>
      <c r="K25" s="17" t="s">
        <v>33</v>
      </c>
      <c r="L25" s="87">
        <v>166</v>
      </c>
      <c r="M25" s="83">
        <v>166</v>
      </c>
      <c r="N25" s="120">
        <v>166</v>
      </c>
      <c r="O25" s="456"/>
    </row>
    <row r="26" spans="1:15" s="257" customFormat="1" ht="12.75" customHeight="1" x14ac:dyDescent="0.25">
      <c r="A26" s="1047"/>
      <c r="B26" s="1048"/>
      <c r="C26" s="1049"/>
      <c r="D26" s="659" t="s">
        <v>34</v>
      </c>
      <c r="E26" s="1052"/>
      <c r="F26" s="1053"/>
      <c r="G26" s="175"/>
      <c r="H26" s="42"/>
      <c r="I26" s="43"/>
      <c r="J26" s="43"/>
      <c r="K26" s="737" t="s">
        <v>165</v>
      </c>
      <c r="L26" s="104" t="s">
        <v>166</v>
      </c>
      <c r="M26" s="265" t="s">
        <v>166</v>
      </c>
      <c r="N26" s="266" t="s">
        <v>166</v>
      </c>
    </row>
    <row r="27" spans="1:15" s="257" customFormat="1" ht="7.5" customHeight="1" x14ac:dyDescent="0.25">
      <c r="A27" s="624"/>
      <c r="B27" s="642"/>
      <c r="C27" s="651"/>
      <c r="D27" s="746"/>
      <c r="E27" s="649"/>
      <c r="F27" s="648"/>
      <c r="G27" s="75"/>
      <c r="H27" s="42"/>
      <c r="I27" s="43"/>
      <c r="J27" s="43"/>
      <c r="K27" s="759"/>
      <c r="L27" s="105"/>
      <c r="M27" s="224"/>
      <c r="N27" s="448"/>
    </row>
    <row r="28" spans="1:15" s="257" customFormat="1" ht="18" customHeight="1" thickBot="1" x14ac:dyDescent="0.3">
      <c r="A28" s="625"/>
      <c r="B28" s="647"/>
      <c r="C28" s="652"/>
      <c r="D28" s="739"/>
      <c r="E28" s="519"/>
      <c r="F28" s="520"/>
      <c r="G28" s="289" t="s">
        <v>27</v>
      </c>
      <c r="H28" s="72">
        <f>SUM(H22:H27)</f>
        <v>78.5</v>
      </c>
      <c r="I28" s="44">
        <f>SUM(I22:I27)</f>
        <v>78.5</v>
      </c>
      <c r="J28" s="44">
        <f>SUM(J22:J27)</f>
        <v>78.5</v>
      </c>
      <c r="K28" s="650"/>
      <c r="L28" s="89"/>
      <c r="M28" s="192"/>
      <c r="N28" s="186"/>
    </row>
    <row r="29" spans="1:15" s="257" customFormat="1" ht="29.25" customHeight="1" x14ac:dyDescent="0.25">
      <c r="A29" s="1078" t="s">
        <v>14</v>
      </c>
      <c r="B29" s="1079" t="s">
        <v>14</v>
      </c>
      <c r="C29" s="1090" t="s">
        <v>36</v>
      </c>
      <c r="D29" s="1092" t="s">
        <v>37</v>
      </c>
      <c r="E29" s="1093" t="s">
        <v>18</v>
      </c>
      <c r="F29" s="1094" t="s">
        <v>20</v>
      </c>
      <c r="G29" s="137" t="s">
        <v>24</v>
      </c>
      <c r="H29" s="110">
        <f>19.1+21.4</f>
        <v>40.5</v>
      </c>
      <c r="I29" s="110"/>
      <c r="J29" s="110"/>
      <c r="K29" s="640" t="s">
        <v>169</v>
      </c>
      <c r="L29" s="271">
        <v>4</v>
      </c>
      <c r="M29" s="439">
        <v>5</v>
      </c>
      <c r="N29" s="187">
        <v>5</v>
      </c>
    </row>
    <row r="30" spans="1:15" s="257" customFormat="1" ht="25.5" customHeight="1" x14ac:dyDescent="0.25">
      <c r="A30" s="1047"/>
      <c r="B30" s="1048"/>
      <c r="C30" s="1049"/>
      <c r="D30" s="1072"/>
      <c r="E30" s="1064"/>
      <c r="F30" s="1066"/>
      <c r="G30" s="138" t="s">
        <v>23</v>
      </c>
      <c r="H30" s="43"/>
      <c r="I30" s="43">
        <v>25</v>
      </c>
      <c r="J30" s="43">
        <v>25</v>
      </c>
      <c r="K30" s="653" t="s">
        <v>149</v>
      </c>
      <c r="L30" s="255">
        <v>112</v>
      </c>
      <c r="M30" s="340"/>
      <c r="N30" s="334"/>
    </row>
    <row r="31" spans="1:15" s="257" customFormat="1" ht="15.75" customHeight="1" thickBot="1" x14ac:dyDescent="0.3">
      <c r="A31" s="1047"/>
      <c r="B31" s="1089"/>
      <c r="C31" s="1091"/>
      <c r="D31" s="1073"/>
      <c r="E31" s="1065"/>
      <c r="F31" s="1067"/>
      <c r="G31" s="288" t="s">
        <v>27</v>
      </c>
      <c r="H31" s="72">
        <f>SUM(H29:H30)</f>
        <v>40.5</v>
      </c>
      <c r="I31" s="44">
        <f>SUM(I29:I30)</f>
        <v>25</v>
      </c>
      <c r="J31" s="72">
        <f>SUM(J29:J30)</f>
        <v>25</v>
      </c>
      <c r="K31" s="999"/>
      <c r="L31" s="256"/>
      <c r="M31" s="182"/>
      <c r="N31" s="188"/>
    </row>
    <row r="32" spans="1:15" s="257" customFormat="1" ht="24.75" customHeight="1" x14ac:dyDescent="0.25">
      <c r="A32" s="1078" t="s">
        <v>14</v>
      </c>
      <c r="B32" s="1079" t="s">
        <v>14</v>
      </c>
      <c r="C32" s="1080" t="s">
        <v>38</v>
      </c>
      <c r="D32" s="1082" t="s">
        <v>150</v>
      </c>
      <c r="E32" s="573"/>
      <c r="F32" s="1084">
        <v>6</v>
      </c>
      <c r="G32" s="267" t="s">
        <v>35</v>
      </c>
      <c r="H32" s="110">
        <v>12</v>
      </c>
      <c r="I32" s="110"/>
      <c r="J32" s="327"/>
      <c r="K32" s="998" t="s">
        <v>151</v>
      </c>
      <c r="L32" s="193">
        <v>48</v>
      </c>
      <c r="M32" s="341"/>
      <c r="N32" s="264"/>
    </row>
    <row r="33" spans="1:14" s="257" customFormat="1" ht="39" customHeight="1" x14ac:dyDescent="0.25">
      <c r="A33" s="1047"/>
      <c r="B33" s="1048"/>
      <c r="C33" s="1081"/>
      <c r="D33" s="1083"/>
      <c r="E33" s="1087"/>
      <c r="F33" s="1085"/>
      <c r="G33" s="175" t="s">
        <v>63</v>
      </c>
      <c r="H33" s="51">
        <v>5.4</v>
      </c>
      <c r="I33" s="51"/>
      <c r="J33" s="111"/>
      <c r="K33" s="657"/>
      <c r="L33" s="321"/>
      <c r="M33" s="133"/>
      <c r="N33" s="134"/>
    </row>
    <row r="34" spans="1:14" s="257" customFormat="1" ht="14.25" customHeight="1" thickBot="1" x14ac:dyDescent="0.3">
      <c r="A34" s="1047"/>
      <c r="B34" s="1048"/>
      <c r="C34" s="1081"/>
      <c r="D34" s="656"/>
      <c r="E34" s="1088"/>
      <c r="F34" s="1086"/>
      <c r="G34" s="291" t="s">
        <v>27</v>
      </c>
      <c r="H34" s="44">
        <f t="shared" ref="H34" si="0">SUM(H32:H33)</f>
        <v>17.399999999999999</v>
      </c>
      <c r="I34" s="44">
        <f t="shared" ref="I34:J34" si="1">SUM(I32:I33)</f>
        <v>0</v>
      </c>
      <c r="J34" s="128">
        <f t="shared" si="1"/>
        <v>0</v>
      </c>
      <c r="K34" s="159"/>
      <c r="L34" s="89"/>
      <c r="M34" s="342"/>
      <c r="N34" s="186"/>
    </row>
    <row r="35" spans="1:14" s="257" customFormat="1" ht="15.75" customHeight="1" x14ac:dyDescent="0.25">
      <c r="A35" s="1078" t="s">
        <v>14</v>
      </c>
      <c r="B35" s="1079" t="s">
        <v>14</v>
      </c>
      <c r="C35" s="1080" t="s">
        <v>19</v>
      </c>
      <c r="D35" s="1082" t="s">
        <v>167</v>
      </c>
      <c r="E35" s="1096" t="s">
        <v>40</v>
      </c>
      <c r="F35" s="1084">
        <v>6</v>
      </c>
      <c r="G35" s="267" t="s">
        <v>24</v>
      </c>
      <c r="H35" s="110">
        <v>54.8</v>
      </c>
      <c r="I35" s="686"/>
      <c r="J35" s="290"/>
      <c r="K35" s="1095" t="s">
        <v>168</v>
      </c>
      <c r="L35" s="521">
        <v>2300</v>
      </c>
      <c r="M35" s="522"/>
      <c r="N35" s="523"/>
    </row>
    <row r="36" spans="1:14" s="257" customFormat="1" ht="18" customHeight="1" x14ac:dyDescent="0.25">
      <c r="A36" s="1047"/>
      <c r="B36" s="1048"/>
      <c r="C36" s="1081"/>
      <c r="D36" s="1068"/>
      <c r="E36" s="1097"/>
      <c r="F36" s="1085"/>
      <c r="G36" s="175"/>
      <c r="H36" s="43"/>
      <c r="I36" s="51"/>
      <c r="J36" s="111"/>
      <c r="K36" s="1070"/>
      <c r="L36" s="321"/>
      <c r="M36" s="133"/>
      <c r="N36" s="134"/>
    </row>
    <row r="37" spans="1:14" s="257" customFormat="1" ht="17.25" customHeight="1" thickBot="1" x14ac:dyDescent="0.3">
      <c r="A37" s="1047"/>
      <c r="B37" s="1089"/>
      <c r="C37" s="1098"/>
      <c r="D37" s="656"/>
      <c r="E37" s="297"/>
      <c r="F37" s="1086"/>
      <c r="G37" s="288" t="s">
        <v>27</v>
      </c>
      <c r="H37" s="72">
        <f t="shared" ref="H37" si="2">SUM(H35:H36)</f>
        <v>54.8</v>
      </c>
      <c r="I37" s="44">
        <f t="shared" ref="I37" si="3">SUM(I35:I36)</f>
        <v>0</v>
      </c>
      <c r="J37" s="44">
        <f t="shared" ref="J37" si="4">SUM(J35:J35)</f>
        <v>0</v>
      </c>
      <c r="K37" s="159"/>
      <c r="L37" s="89"/>
      <c r="M37" s="342"/>
      <c r="N37" s="186"/>
    </row>
    <row r="38" spans="1:14" s="257" customFormat="1" ht="25.5" customHeight="1" x14ac:dyDescent="0.25">
      <c r="A38" s="1078" t="s">
        <v>14</v>
      </c>
      <c r="B38" s="1079" t="s">
        <v>14</v>
      </c>
      <c r="C38" s="1080" t="s">
        <v>132</v>
      </c>
      <c r="D38" s="1001" t="s">
        <v>145</v>
      </c>
      <c r="E38" s="1096" t="s">
        <v>40</v>
      </c>
      <c r="F38" s="1084">
        <v>5</v>
      </c>
      <c r="G38" s="175" t="s">
        <v>24</v>
      </c>
      <c r="H38" s="110">
        <v>720.6</v>
      </c>
      <c r="I38" s="686"/>
      <c r="J38" s="290"/>
      <c r="K38" s="378" t="s">
        <v>143</v>
      </c>
      <c r="L38" s="193">
        <v>268</v>
      </c>
      <c r="M38" s="341"/>
      <c r="N38" s="264"/>
    </row>
    <row r="39" spans="1:14" s="257" customFormat="1" ht="15" customHeight="1" x14ac:dyDescent="0.25">
      <c r="A39" s="1047"/>
      <c r="B39" s="1048"/>
      <c r="C39" s="1081"/>
      <c r="D39" s="1002"/>
      <c r="E39" s="1097"/>
      <c r="F39" s="1085"/>
      <c r="G39" s="175"/>
      <c r="H39" s="43"/>
      <c r="I39" s="51"/>
      <c r="J39" s="111"/>
      <c r="K39" s="627" t="s">
        <v>144</v>
      </c>
      <c r="L39" s="321">
        <v>12</v>
      </c>
      <c r="M39" s="133"/>
      <c r="N39" s="134"/>
    </row>
    <row r="40" spans="1:14" s="257" customFormat="1" ht="13.5" customHeight="1" thickBot="1" x14ac:dyDescent="0.3">
      <c r="A40" s="1047"/>
      <c r="B40" s="1048"/>
      <c r="C40" s="1081"/>
      <c r="D40" s="1003"/>
      <c r="E40" s="297"/>
      <c r="F40" s="1086"/>
      <c r="G40" s="291" t="s">
        <v>27</v>
      </c>
      <c r="H40" s="44">
        <f t="shared" ref="H40" si="5">SUM(H38:H39)</f>
        <v>720.6</v>
      </c>
      <c r="I40" s="44">
        <f t="shared" ref="I40:J40" si="6">SUM(I38:I39)</f>
        <v>0</v>
      </c>
      <c r="J40" s="128">
        <f t="shared" si="6"/>
        <v>0</v>
      </c>
      <c r="K40" s="159"/>
      <c r="L40" s="89"/>
      <c r="M40" s="342"/>
      <c r="N40" s="186"/>
    </row>
    <row r="41" spans="1:14" s="257" customFormat="1" ht="13.5" thickBot="1" x14ac:dyDescent="0.3">
      <c r="A41" s="21" t="s">
        <v>14</v>
      </c>
      <c r="B41" s="22" t="s">
        <v>14</v>
      </c>
      <c r="C41" s="1107" t="s">
        <v>44</v>
      </c>
      <c r="D41" s="1107"/>
      <c r="E41" s="1107"/>
      <c r="F41" s="1107"/>
      <c r="G41" s="1107"/>
      <c r="H41" s="66">
        <f>H31+H28+H34+H37+H40+H21</f>
        <v>6181.4000000000005</v>
      </c>
      <c r="I41" s="66">
        <f>I31+I28+I34+I37+I40+I21</f>
        <v>5377.6</v>
      </c>
      <c r="J41" s="66">
        <f>J31+J28+J34+J37+J40+J21</f>
        <v>5382.1</v>
      </c>
      <c r="K41" s="655"/>
      <c r="L41" s="635"/>
      <c r="M41" s="635"/>
      <c r="N41" s="636"/>
    </row>
    <row r="42" spans="1:14" s="257" customFormat="1" ht="18" customHeight="1" thickBot="1" x14ac:dyDescent="0.3">
      <c r="A42" s="21" t="s">
        <v>14</v>
      </c>
      <c r="B42" s="22" t="s">
        <v>28</v>
      </c>
      <c r="C42" s="1112" t="s">
        <v>45</v>
      </c>
      <c r="D42" s="1113"/>
      <c r="E42" s="1113"/>
      <c r="F42" s="1113"/>
      <c r="G42" s="1113"/>
      <c r="H42" s="1113"/>
      <c r="I42" s="1113"/>
      <c r="J42" s="1113"/>
      <c r="K42" s="1113"/>
      <c r="L42" s="1113"/>
      <c r="M42" s="1113"/>
      <c r="N42" s="1114"/>
    </row>
    <row r="43" spans="1:14" s="257" customFormat="1" ht="13.5" customHeight="1" x14ac:dyDescent="0.25">
      <c r="A43" s="1115" t="s">
        <v>14</v>
      </c>
      <c r="B43" s="1079" t="s">
        <v>28</v>
      </c>
      <c r="C43" s="1090" t="s">
        <v>14</v>
      </c>
      <c r="D43" s="1118" t="s">
        <v>87</v>
      </c>
      <c r="E43" s="490"/>
      <c r="F43" s="1084" t="s">
        <v>20</v>
      </c>
      <c r="G43" s="267" t="s">
        <v>106</v>
      </c>
      <c r="H43" s="126">
        <v>1.8</v>
      </c>
      <c r="I43" s="110"/>
      <c r="J43" s="110"/>
      <c r="K43" s="269"/>
      <c r="L43" s="271"/>
      <c r="M43" s="326"/>
      <c r="N43" s="362"/>
    </row>
    <row r="44" spans="1:14" s="257" customFormat="1" ht="12.75" customHeight="1" x14ac:dyDescent="0.25">
      <c r="A44" s="1116"/>
      <c r="B44" s="1048"/>
      <c r="C44" s="1049"/>
      <c r="D44" s="1119"/>
      <c r="E44" s="491"/>
      <c r="F44" s="1085"/>
      <c r="G44" s="175" t="s">
        <v>30</v>
      </c>
      <c r="H44" s="42">
        <v>87.7</v>
      </c>
      <c r="I44" s="43">
        <v>60.8</v>
      </c>
      <c r="J44" s="43">
        <v>61.8</v>
      </c>
      <c r="K44" s="268"/>
      <c r="L44" s="255"/>
      <c r="M44" s="195"/>
      <c r="N44" s="486"/>
    </row>
    <row r="45" spans="1:14" s="257" customFormat="1" ht="15.75" customHeight="1" x14ac:dyDescent="0.25">
      <c r="A45" s="1116"/>
      <c r="B45" s="1048"/>
      <c r="C45" s="1049"/>
      <c r="D45" s="1120"/>
      <c r="E45" s="292"/>
      <c r="F45" s="1085"/>
      <c r="G45" s="75"/>
      <c r="H45" s="70"/>
      <c r="I45" s="47"/>
      <c r="J45" s="47"/>
      <c r="K45" s="272"/>
      <c r="L45" s="249"/>
      <c r="M45" s="248"/>
      <c r="N45" s="431"/>
    </row>
    <row r="46" spans="1:14" s="257" customFormat="1" ht="13.5" customHeight="1" x14ac:dyDescent="0.25">
      <c r="A46" s="1116"/>
      <c r="B46" s="1048"/>
      <c r="C46" s="1049"/>
      <c r="D46" s="1002" t="s">
        <v>47</v>
      </c>
      <c r="E46" s="1100" t="s">
        <v>46</v>
      </c>
      <c r="F46" s="1085"/>
      <c r="G46" s="175"/>
      <c r="H46" s="42"/>
      <c r="I46" s="43"/>
      <c r="J46" s="43"/>
      <c r="K46" s="268" t="s">
        <v>48</v>
      </c>
      <c r="L46" s="255">
        <v>4</v>
      </c>
      <c r="M46" s="309">
        <v>2</v>
      </c>
      <c r="N46" s="486">
        <v>3</v>
      </c>
    </row>
    <row r="47" spans="1:14" s="257" customFormat="1" ht="18.75" customHeight="1" x14ac:dyDescent="0.25">
      <c r="A47" s="1116"/>
      <c r="B47" s="1048"/>
      <c r="C47" s="1049"/>
      <c r="D47" s="1117"/>
      <c r="E47" s="1101"/>
      <c r="F47" s="1085"/>
      <c r="G47" s="175"/>
      <c r="H47" s="43"/>
      <c r="I47" s="43"/>
      <c r="J47" s="43"/>
      <c r="K47" s="166"/>
      <c r="L47" s="167"/>
      <c r="M47" s="273"/>
      <c r="N47" s="431"/>
    </row>
    <row r="48" spans="1:14" s="257" customFormat="1" ht="16.5" customHeight="1" x14ac:dyDescent="0.25">
      <c r="A48" s="624"/>
      <c r="B48" s="642"/>
      <c r="C48" s="670"/>
      <c r="D48" s="57" t="s">
        <v>49</v>
      </c>
      <c r="E48" s="1099" t="s">
        <v>86</v>
      </c>
      <c r="F48" s="672"/>
      <c r="G48" s="175"/>
      <c r="H48" s="42"/>
      <c r="I48" s="43"/>
      <c r="J48" s="43"/>
      <c r="K48" s="1045" t="s">
        <v>97</v>
      </c>
      <c r="L48" s="136">
        <v>1</v>
      </c>
      <c r="M48" s="433">
        <v>1</v>
      </c>
      <c r="N48" s="442">
        <v>1</v>
      </c>
    </row>
    <row r="49" spans="1:14" s="257" customFormat="1" ht="9.75" customHeight="1" x14ac:dyDescent="0.25">
      <c r="A49" s="624"/>
      <c r="B49" s="642"/>
      <c r="C49" s="670"/>
      <c r="D49" s="77"/>
      <c r="E49" s="1100"/>
      <c r="F49" s="672"/>
      <c r="G49" s="175"/>
      <c r="H49" s="42"/>
      <c r="I49" s="43"/>
      <c r="J49" s="43"/>
      <c r="K49" s="1102"/>
      <c r="L49" s="100"/>
      <c r="M49" s="310"/>
      <c r="N49" s="377"/>
    </row>
    <row r="50" spans="1:14" s="257" customFormat="1" ht="5.25" customHeight="1" x14ac:dyDescent="0.25">
      <c r="A50" s="624"/>
      <c r="B50" s="642"/>
      <c r="C50" s="673"/>
      <c r="D50" s="665"/>
      <c r="E50" s="1101"/>
      <c r="F50" s="672"/>
      <c r="G50" s="175"/>
      <c r="H50" s="42"/>
      <c r="I50" s="43"/>
      <c r="J50" s="43"/>
      <c r="K50" s="451"/>
      <c r="L50" s="249"/>
      <c r="M50" s="248"/>
      <c r="N50" s="431"/>
    </row>
    <row r="51" spans="1:14" s="257" customFormat="1" ht="25.5" customHeight="1" x14ac:dyDescent="0.25">
      <c r="A51" s="624"/>
      <c r="B51" s="642"/>
      <c r="C51" s="673"/>
      <c r="D51" s="205" t="s">
        <v>115</v>
      </c>
      <c r="E51" s="294"/>
      <c r="F51" s="134"/>
      <c r="G51" s="293"/>
      <c r="H51" s="42"/>
      <c r="I51" s="43"/>
      <c r="J51" s="43"/>
      <c r="K51" s="219" t="s">
        <v>116</v>
      </c>
      <c r="L51" s="208">
        <v>187</v>
      </c>
      <c r="M51" s="434">
        <v>187</v>
      </c>
      <c r="N51" s="443">
        <v>187</v>
      </c>
    </row>
    <row r="52" spans="1:14" s="257" customFormat="1" ht="21.75" customHeight="1" x14ac:dyDescent="0.25">
      <c r="A52" s="624"/>
      <c r="B52" s="642"/>
      <c r="C52" s="673"/>
      <c r="D52" s="1103" t="s">
        <v>104</v>
      </c>
      <c r="E52" s="295"/>
      <c r="F52" s="134"/>
      <c r="G52" s="175"/>
      <c r="H52" s="42"/>
      <c r="I52" s="43"/>
      <c r="J52" s="43"/>
      <c r="K52" s="1105" t="s">
        <v>197</v>
      </c>
      <c r="L52" s="662">
        <v>12</v>
      </c>
      <c r="M52" s="198"/>
      <c r="N52" s="426"/>
    </row>
    <row r="53" spans="1:14" s="257" customFormat="1" ht="27.75" customHeight="1" x14ac:dyDescent="0.25">
      <c r="A53" s="624"/>
      <c r="B53" s="642"/>
      <c r="C53" s="673"/>
      <c r="D53" s="1104"/>
      <c r="E53" s="491"/>
      <c r="F53" s="134"/>
      <c r="G53" s="75"/>
      <c r="H53" s="70"/>
      <c r="I53" s="47"/>
      <c r="J53" s="47"/>
      <c r="K53" s="1106"/>
      <c r="L53" s="255"/>
      <c r="M53" s="195"/>
      <c r="N53" s="486"/>
    </row>
    <row r="54" spans="1:14" s="257" customFormat="1" ht="17.25" customHeight="1" thickBot="1" x14ac:dyDescent="0.3">
      <c r="A54" s="625"/>
      <c r="B54" s="647"/>
      <c r="C54" s="485"/>
      <c r="D54" s="687"/>
      <c r="E54" s="297"/>
      <c r="F54" s="688"/>
      <c r="G54" s="288" t="s">
        <v>27</v>
      </c>
      <c r="H54" s="72">
        <f>SUM(H43:H53)</f>
        <v>89.5</v>
      </c>
      <c r="I54" s="72">
        <f t="shared" ref="I54:J54" si="7">SUM(I43:I53)</f>
        <v>60.8</v>
      </c>
      <c r="J54" s="72">
        <f t="shared" si="7"/>
        <v>61.8</v>
      </c>
      <c r="K54" s="159"/>
      <c r="L54" s="89"/>
      <c r="M54" s="342"/>
      <c r="N54" s="186"/>
    </row>
    <row r="55" spans="1:14" s="257" customFormat="1" ht="13.5" thickBot="1" x14ac:dyDescent="0.3">
      <c r="A55" s="26" t="s">
        <v>14</v>
      </c>
      <c r="B55" s="22" t="s">
        <v>28</v>
      </c>
      <c r="C55" s="1107" t="s">
        <v>44</v>
      </c>
      <c r="D55" s="1107"/>
      <c r="E55" s="1107"/>
      <c r="F55" s="1107"/>
      <c r="G55" s="1108"/>
      <c r="H55" s="66">
        <f>H54</f>
        <v>89.5</v>
      </c>
      <c r="I55" s="66">
        <f t="shared" ref="I55:J55" si="8">I54</f>
        <v>60.8</v>
      </c>
      <c r="J55" s="66">
        <f t="shared" si="8"/>
        <v>61.8</v>
      </c>
      <c r="K55" s="1109"/>
      <c r="L55" s="1110"/>
      <c r="M55" s="1110"/>
      <c r="N55" s="1111"/>
    </row>
    <row r="56" spans="1:14" s="257" customFormat="1" ht="16.5" customHeight="1" thickBot="1" x14ac:dyDescent="0.3">
      <c r="A56" s="21" t="s">
        <v>14</v>
      </c>
      <c r="B56" s="22" t="s">
        <v>36</v>
      </c>
      <c r="C56" s="1112" t="s">
        <v>50</v>
      </c>
      <c r="D56" s="1113"/>
      <c r="E56" s="1113"/>
      <c r="F56" s="1113"/>
      <c r="G56" s="1113"/>
      <c r="H56" s="1113"/>
      <c r="I56" s="1113"/>
      <c r="J56" s="1113"/>
      <c r="K56" s="1113"/>
      <c r="L56" s="1113"/>
      <c r="M56" s="1113"/>
      <c r="N56" s="1114"/>
    </row>
    <row r="57" spans="1:14" s="257" customFormat="1" ht="12.75" customHeight="1" x14ac:dyDescent="0.25">
      <c r="A57" s="623" t="s">
        <v>14</v>
      </c>
      <c r="B57" s="641" t="s">
        <v>36</v>
      </c>
      <c r="C57" s="669" t="s">
        <v>14</v>
      </c>
      <c r="D57" s="148" t="s">
        <v>84</v>
      </c>
      <c r="E57" s="271"/>
      <c r="F57" s="644">
        <v>6</v>
      </c>
      <c r="G57" s="267" t="s">
        <v>42</v>
      </c>
      <c r="H57" s="327">
        <v>10</v>
      </c>
      <c r="I57" s="110">
        <v>90</v>
      </c>
      <c r="J57" s="110"/>
      <c r="K57" s="28"/>
      <c r="L57" s="94"/>
      <c r="M57" s="435"/>
      <c r="N57" s="445"/>
    </row>
    <row r="58" spans="1:14" s="257" customFormat="1" ht="15" customHeight="1" x14ac:dyDescent="0.25">
      <c r="A58" s="666"/>
      <c r="B58" s="667"/>
      <c r="C58" s="670"/>
      <c r="D58" s="276"/>
      <c r="E58" s="255"/>
      <c r="F58" s="672"/>
      <c r="G58" s="85" t="s">
        <v>30</v>
      </c>
      <c r="H58" s="42">
        <v>10</v>
      </c>
      <c r="I58" s="43">
        <f>113.1</f>
        <v>113.1</v>
      </c>
      <c r="J58" s="43">
        <v>101.1</v>
      </c>
      <c r="K58" s="268"/>
      <c r="L58" s="664"/>
      <c r="M58" s="343"/>
      <c r="N58" s="373"/>
    </row>
    <row r="59" spans="1:14" s="257" customFormat="1" ht="15" customHeight="1" x14ac:dyDescent="0.25">
      <c r="A59" s="666"/>
      <c r="B59" s="667"/>
      <c r="C59" s="670"/>
      <c r="D59" s="276"/>
      <c r="E59" s="255"/>
      <c r="F59" s="672"/>
      <c r="G59" s="85" t="s">
        <v>35</v>
      </c>
      <c r="H59" s="42">
        <v>221.9</v>
      </c>
      <c r="I59" s="43">
        <v>15</v>
      </c>
      <c r="J59" s="43"/>
      <c r="K59" s="268"/>
      <c r="L59" s="664"/>
      <c r="M59" s="343"/>
      <c r="N59" s="373"/>
    </row>
    <row r="60" spans="1:14" s="257" customFormat="1" ht="15.75" customHeight="1" x14ac:dyDescent="0.25">
      <c r="A60" s="624"/>
      <c r="B60" s="642"/>
      <c r="C60" s="670"/>
      <c r="D60" s="57" t="s">
        <v>52</v>
      </c>
      <c r="E60" s="1136" t="s">
        <v>53</v>
      </c>
      <c r="F60" s="645"/>
      <c r="G60" s="241"/>
      <c r="H60" s="46"/>
      <c r="I60" s="46"/>
      <c r="J60" s="46"/>
      <c r="K60" s="660" t="s">
        <v>95</v>
      </c>
      <c r="L60" s="662">
        <v>17</v>
      </c>
      <c r="M60" s="198">
        <v>17</v>
      </c>
      <c r="N60" s="426">
        <v>17</v>
      </c>
    </row>
    <row r="61" spans="1:14" s="257" customFormat="1" ht="18" customHeight="1" x14ac:dyDescent="0.25">
      <c r="A61" s="624"/>
      <c r="B61" s="642"/>
      <c r="C61" s="670"/>
      <c r="D61" s="550"/>
      <c r="E61" s="1137"/>
      <c r="F61" s="645"/>
      <c r="G61" s="175"/>
      <c r="H61" s="43"/>
      <c r="I61" s="43"/>
      <c r="J61" s="43"/>
      <c r="K61" s="661"/>
      <c r="L61" s="249"/>
      <c r="M61" s="248"/>
      <c r="N61" s="431"/>
    </row>
    <row r="62" spans="1:14" s="257" customFormat="1" ht="24.75" customHeight="1" x14ac:dyDescent="0.25">
      <c r="A62" s="624"/>
      <c r="B62" s="642"/>
      <c r="C62" s="670"/>
      <c r="D62" s="631" t="s">
        <v>54</v>
      </c>
      <c r="E62" s="1138"/>
      <c r="F62" s="645"/>
      <c r="G62" s="138"/>
      <c r="H62" s="43"/>
      <c r="I62" s="43"/>
      <c r="J62" s="43"/>
      <c r="K62" s="660" t="s">
        <v>198</v>
      </c>
      <c r="L62" s="554" t="s">
        <v>117</v>
      </c>
      <c r="M62" s="555" t="s">
        <v>117</v>
      </c>
      <c r="N62" s="556" t="s">
        <v>117</v>
      </c>
    </row>
    <row r="63" spans="1:14" s="257" customFormat="1" ht="5.25" customHeight="1" x14ac:dyDescent="0.25">
      <c r="A63" s="624"/>
      <c r="B63" s="642"/>
      <c r="C63" s="670"/>
      <c r="D63" s="632"/>
      <c r="E63" s="548"/>
      <c r="F63" s="645"/>
      <c r="G63" s="138"/>
      <c r="H63" s="43"/>
      <c r="I63" s="43"/>
      <c r="J63" s="43"/>
      <c r="K63" s="661"/>
      <c r="L63" s="558"/>
      <c r="M63" s="559"/>
      <c r="N63" s="560"/>
    </row>
    <row r="64" spans="1:14" s="257" customFormat="1" ht="19.5" customHeight="1" x14ac:dyDescent="0.25">
      <c r="A64" s="624"/>
      <c r="B64" s="642"/>
      <c r="C64" s="670"/>
      <c r="D64" s="1002" t="s">
        <v>171</v>
      </c>
      <c r="E64" s="298"/>
      <c r="F64" s="645"/>
      <c r="G64" s="138"/>
      <c r="H64" s="43"/>
      <c r="I64" s="43"/>
      <c r="J64" s="43"/>
      <c r="K64" s="274" t="s">
        <v>127</v>
      </c>
      <c r="L64" s="180">
        <v>2</v>
      </c>
      <c r="M64" s="133"/>
      <c r="N64" s="134"/>
    </row>
    <row r="65" spans="1:15" s="257" customFormat="1" ht="27.75" customHeight="1" x14ac:dyDescent="0.25">
      <c r="A65" s="624"/>
      <c r="B65" s="642"/>
      <c r="C65" s="670"/>
      <c r="D65" s="1002"/>
      <c r="E65" s="298"/>
      <c r="F65" s="645"/>
      <c r="G65" s="138"/>
      <c r="H65" s="48"/>
      <c r="I65" s="43"/>
      <c r="J65" s="43"/>
      <c r="K65" s="690" t="s">
        <v>170</v>
      </c>
      <c r="L65" s="691">
        <v>1</v>
      </c>
      <c r="M65" s="561">
        <v>1</v>
      </c>
      <c r="N65" s="115">
        <v>1</v>
      </c>
      <c r="O65" s="674"/>
    </row>
    <row r="66" spans="1:15" s="257" customFormat="1" ht="24.75" customHeight="1" x14ac:dyDescent="0.25">
      <c r="A66" s="624"/>
      <c r="B66" s="642"/>
      <c r="C66" s="670"/>
      <c r="D66" s="689" t="s">
        <v>179</v>
      </c>
      <c r="E66" s="298"/>
      <c r="F66" s="672"/>
      <c r="G66" s="139"/>
      <c r="H66" s="50"/>
      <c r="I66" s="47"/>
      <c r="J66" s="47"/>
      <c r="K66" s="677" t="s">
        <v>172</v>
      </c>
      <c r="L66" s="88"/>
      <c r="M66" s="180">
        <v>1</v>
      </c>
      <c r="N66" s="176"/>
      <c r="O66" s="634"/>
    </row>
    <row r="67" spans="1:15" s="257" customFormat="1" ht="17.25" customHeight="1" thickBot="1" x14ac:dyDescent="0.3">
      <c r="A67" s="678"/>
      <c r="B67" s="668"/>
      <c r="C67" s="485"/>
      <c r="D67" s="687"/>
      <c r="E67" s="297"/>
      <c r="F67" s="688"/>
      <c r="G67" s="288" t="s">
        <v>27</v>
      </c>
      <c r="H67" s="72">
        <f>SUM(H57:H66)</f>
        <v>241.9</v>
      </c>
      <c r="I67" s="72">
        <f t="shared" ref="I67:J67" si="9">SUM(I57:I66)</f>
        <v>218.1</v>
      </c>
      <c r="J67" s="72">
        <f t="shared" si="9"/>
        <v>101.1</v>
      </c>
      <c r="K67" s="159"/>
      <c r="L67" s="89"/>
      <c r="M67" s="342"/>
      <c r="N67" s="186"/>
    </row>
    <row r="68" spans="1:15" s="257" customFormat="1" ht="13.5" customHeight="1" x14ac:dyDescent="0.2">
      <c r="A68" s="623" t="s">
        <v>14</v>
      </c>
      <c r="B68" s="641" t="s">
        <v>36</v>
      </c>
      <c r="C68" s="669" t="s">
        <v>28</v>
      </c>
      <c r="D68" s="1158" t="s">
        <v>55</v>
      </c>
      <c r="E68" s="328"/>
      <c r="F68" s="721">
        <v>4</v>
      </c>
      <c r="G68" s="722" t="s">
        <v>35</v>
      </c>
      <c r="H68" s="723">
        <v>17.600000000000001</v>
      </c>
      <c r="I68" s="724"/>
      <c r="J68" s="733"/>
      <c r="K68" s="329"/>
      <c r="L68" s="90"/>
      <c r="M68" s="341"/>
      <c r="N68" s="264"/>
    </row>
    <row r="69" spans="1:15" s="257" customFormat="1" ht="14.1" customHeight="1" x14ac:dyDescent="0.2">
      <c r="A69" s="692"/>
      <c r="B69" s="693"/>
      <c r="C69" s="694"/>
      <c r="D69" s="1159"/>
      <c r="E69" s="714"/>
      <c r="F69" s="725">
        <v>6</v>
      </c>
      <c r="G69" s="726" t="s">
        <v>42</v>
      </c>
      <c r="H69" s="730"/>
      <c r="I69" s="727">
        <v>200</v>
      </c>
      <c r="J69" s="734">
        <v>139.30000000000001</v>
      </c>
      <c r="K69" s="720"/>
      <c r="L69" s="88"/>
      <c r="M69" s="133"/>
      <c r="N69" s="134"/>
    </row>
    <row r="70" spans="1:15" s="257" customFormat="1" ht="14.1" customHeight="1" x14ac:dyDescent="0.2">
      <c r="A70" s="692"/>
      <c r="B70" s="693"/>
      <c r="C70" s="694"/>
      <c r="D70" s="1159"/>
      <c r="E70" s="714"/>
      <c r="F70" s="695"/>
      <c r="G70" s="299" t="s">
        <v>99</v>
      </c>
      <c r="H70" s="197">
        <v>88.7</v>
      </c>
      <c r="I70" s="43">
        <v>22</v>
      </c>
      <c r="J70" s="164"/>
      <c r="K70" s="720"/>
      <c r="L70" s="88"/>
      <c r="M70" s="133"/>
      <c r="N70" s="134"/>
    </row>
    <row r="71" spans="1:15" s="257" customFormat="1" ht="14.1" customHeight="1" x14ac:dyDescent="0.2">
      <c r="A71" s="692"/>
      <c r="B71" s="693"/>
      <c r="C71" s="694"/>
      <c r="D71" s="1159"/>
      <c r="E71" s="714"/>
      <c r="F71" s="695"/>
      <c r="G71" s="299" t="s">
        <v>35</v>
      </c>
      <c r="H71" s="197">
        <v>110.7</v>
      </c>
      <c r="I71" s="43"/>
      <c r="J71" s="164"/>
      <c r="K71" s="720"/>
      <c r="L71" s="88"/>
      <c r="M71" s="133"/>
      <c r="N71" s="134"/>
    </row>
    <row r="72" spans="1:15" s="257" customFormat="1" ht="14.1" customHeight="1" x14ac:dyDescent="0.2">
      <c r="A72" s="692"/>
      <c r="B72" s="693"/>
      <c r="C72" s="694"/>
      <c r="D72" s="278"/>
      <c r="E72" s="714"/>
      <c r="F72" s="728"/>
      <c r="G72" s="698" t="s">
        <v>30</v>
      </c>
      <c r="H72" s="980">
        <f>50-6.8</f>
        <v>43.2</v>
      </c>
      <c r="I72" s="603">
        <v>110.7</v>
      </c>
      <c r="J72" s="164">
        <v>110.7</v>
      </c>
      <c r="K72" s="720"/>
      <c r="L72" s="88"/>
      <c r="M72" s="133"/>
      <c r="N72" s="134"/>
    </row>
    <row r="73" spans="1:15" s="257" customFormat="1" ht="14.1" customHeight="1" x14ac:dyDescent="0.2">
      <c r="A73" s="692"/>
      <c r="B73" s="693"/>
      <c r="C73" s="694"/>
      <c r="D73" s="278"/>
      <c r="E73" s="714"/>
      <c r="F73" s="254">
        <v>5</v>
      </c>
      <c r="G73" s="472" t="s">
        <v>42</v>
      </c>
      <c r="H73" s="715">
        <v>324.2</v>
      </c>
      <c r="I73" s="735">
        <f>540.7-148.3</f>
        <v>392.40000000000003</v>
      </c>
      <c r="J73" s="727">
        <v>1161.5999999999999</v>
      </c>
      <c r="K73" s="720"/>
      <c r="L73" s="88"/>
      <c r="M73" s="133"/>
      <c r="N73" s="134"/>
    </row>
    <row r="74" spans="1:15" s="257" customFormat="1" ht="14.1" customHeight="1" x14ac:dyDescent="0.2">
      <c r="A74" s="692"/>
      <c r="B74" s="693"/>
      <c r="C74" s="694"/>
      <c r="D74" s="278"/>
      <c r="E74" s="714"/>
      <c r="F74" s="254"/>
      <c r="G74" s="472" t="s">
        <v>106</v>
      </c>
      <c r="H74" s="715">
        <f>181.9-6.5</f>
        <v>175.4</v>
      </c>
      <c r="I74" s="43"/>
      <c r="J74" s="164"/>
      <c r="K74" s="720"/>
      <c r="L74" s="88"/>
      <c r="M74" s="133"/>
      <c r="N74" s="134"/>
    </row>
    <row r="75" spans="1:15" s="257" customFormat="1" ht="14.1" customHeight="1" x14ac:dyDescent="0.2">
      <c r="A75" s="692"/>
      <c r="B75" s="693"/>
      <c r="C75" s="694"/>
      <c r="D75" s="278"/>
      <c r="E75" s="714"/>
      <c r="F75" s="254"/>
      <c r="G75" s="131" t="s">
        <v>63</v>
      </c>
      <c r="H75" s="715">
        <f>84.7-28</f>
        <v>56.7</v>
      </c>
      <c r="I75" s="735">
        <f>82.5+28</f>
        <v>110.5</v>
      </c>
      <c r="J75" s="715">
        <v>14.1</v>
      </c>
      <c r="K75" s="720"/>
      <c r="L75" s="88"/>
      <c r="M75" s="133"/>
      <c r="N75" s="134"/>
    </row>
    <row r="76" spans="1:15" s="257" customFormat="1" ht="14.1" customHeight="1" x14ac:dyDescent="0.2">
      <c r="A76" s="692"/>
      <c r="B76" s="693"/>
      <c r="C76" s="694"/>
      <c r="D76" s="278"/>
      <c r="E76" s="714"/>
      <c r="F76" s="254"/>
      <c r="G76" s="131" t="s">
        <v>30</v>
      </c>
      <c r="H76" s="715">
        <f>255.3-105.3</f>
        <v>150</v>
      </c>
      <c r="I76" s="735"/>
      <c r="J76" s="715"/>
      <c r="K76" s="720"/>
      <c r="L76" s="88"/>
      <c r="M76" s="133"/>
      <c r="N76" s="134"/>
    </row>
    <row r="77" spans="1:15" s="257" customFormat="1" ht="14.1" customHeight="1" x14ac:dyDescent="0.2">
      <c r="A77" s="692"/>
      <c r="B77" s="693"/>
      <c r="C77" s="694"/>
      <c r="D77" s="278"/>
      <c r="E77" s="714"/>
      <c r="F77" s="869"/>
      <c r="G77" s="131" t="s">
        <v>108</v>
      </c>
      <c r="H77" s="715">
        <f>1226.9-28-320</f>
        <v>878.90000000000009</v>
      </c>
      <c r="I77" s="735">
        <f>935.9+320</f>
        <v>1255.9000000000001</v>
      </c>
      <c r="J77" s="715">
        <v>160.19999999999999</v>
      </c>
      <c r="K77" s="720"/>
      <c r="L77" s="88"/>
      <c r="M77" s="133"/>
      <c r="N77" s="134"/>
    </row>
    <row r="78" spans="1:15" s="257" customFormat="1" ht="14.1" customHeight="1" x14ac:dyDescent="0.2">
      <c r="A78" s="861"/>
      <c r="B78" s="867"/>
      <c r="C78" s="868"/>
      <c r="D78" s="278"/>
      <c r="E78" s="714"/>
      <c r="F78" s="870"/>
      <c r="G78" s="131" t="s">
        <v>147</v>
      </c>
      <c r="H78" s="715">
        <v>28</v>
      </c>
      <c r="I78" s="735"/>
      <c r="J78" s="715"/>
      <c r="K78" s="720"/>
      <c r="L78" s="88"/>
      <c r="M78" s="133"/>
      <c r="N78" s="134"/>
    </row>
    <row r="79" spans="1:15" s="257" customFormat="1" ht="17.25" customHeight="1" x14ac:dyDescent="0.25">
      <c r="A79" s="7"/>
      <c r="B79" s="8"/>
      <c r="C79" s="151"/>
      <c r="D79" s="1103" t="s">
        <v>105</v>
      </c>
      <c r="E79" s="716" t="s">
        <v>39</v>
      </c>
      <c r="F79" s="696">
        <v>4</v>
      </c>
      <c r="G79" s="718"/>
      <c r="H79" s="717"/>
      <c r="I79" s="46"/>
      <c r="J79" s="76"/>
      <c r="K79" s="719" t="s">
        <v>88</v>
      </c>
      <c r="L79" s="180">
        <v>1</v>
      </c>
      <c r="M79" s="221"/>
      <c r="N79" s="176"/>
    </row>
    <row r="80" spans="1:15" s="257" customFormat="1" ht="18.75" customHeight="1" x14ac:dyDescent="0.25">
      <c r="A80" s="7"/>
      <c r="B80" s="8"/>
      <c r="C80" s="151"/>
      <c r="D80" s="1068"/>
      <c r="E80" s="1140" t="s">
        <v>133</v>
      </c>
      <c r="F80" s="725">
        <v>6</v>
      </c>
      <c r="G80" s="472"/>
      <c r="H80" s="732"/>
      <c r="I80" s="43"/>
      <c r="J80" s="164"/>
      <c r="K80" s="1142" t="s">
        <v>113</v>
      </c>
      <c r="L80" s="88">
        <v>0</v>
      </c>
      <c r="M80" s="84">
        <v>60</v>
      </c>
      <c r="N80" s="134">
        <v>100</v>
      </c>
    </row>
    <row r="81" spans="1:15" s="257" customFormat="1" ht="22.5" customHeight="1" x14ac:dyDescent="0.25">
      <c r="A81" s="7"/>
      <c r="B81" s="8"/>
      <c r="C81" s="151"/>
      <c r="D81" s="1139"/>
      <c r="E81" s="1141"/>
      <c r="F81" s="695"/>
      <c r="G81" s="299"/>
      <c r="H81" s="735"/>
      <c r="I81" s="48"/>
      <c r="J81" s="43"/>
      <c r="K81" s="1143"/>
      <c r="L81" s="98"/>
      <c r="M81" s="95"/>
      <c r="N81" s="114"/>
    </row>
    <row r="82" spans="1:15" s="257" customFormat="1" ht="13.5" customHeight="1" x14ac:dyDescent="0.25">
      <c r="A82" s="624"/>
      <c r="B82" s="642"/>
      <c r="C82" s="670"/>
      <c r="D82" s="1103" t="s">
        <v>56</v>
      </c>
      <c r="E82" s="1155" t="s">
        <v>57</v>
      </c>
      <c r="F82" s="695"/>
      <c r="G82" s="729"/>
      <c r="H82" s="43"/>
      <c r="I82" s="48"/>
      <c r="J82" s="43"/>
      <c r="K82" s="988" t="s">
        <v>212</v>
      </c>
      <c r="L82" s="104" t="s">
        <v>173</v>
      </c>
      <c r="M82" s="265" t="s">
        <v>173</v>
      </c>
      <c r="N82" s="266" t="s">
        <v>173</v>
      </c>
    </row>
    <row r="83" spans="1:15" s="257" customFormat="1" ht="16.5" customHeight="1" x14ac:dyDescent="0.25">
      <c r="A83" s="7"/>
      <c r="B83" s="8"/>
      <c r="C83" s="151"/>
      <c r="D83" s="1068"/>
      <c r="E83" s="1156"/>
      <c r="F83" s="645"/>
      <c r="G83" s="175"/>
      <c r="H83" s="48"/>
      <c r="I83" s="48"/>
      <c r="J83" s="43"/>
      <c r="K83" s="482" t="s">
        <v>152</v>
      </c>
      <c r="L83" s="97">
        <v>150</v>
      </c>
      <c r="M83" s="279">
        <v>150</v>
      </c>
      <c r="N83" s="113">
        <v>150</v>
      </c>
    </row>
    <row r="84" spans="1:15" s="257" customFormat="1" ht="28.5" customHeight="1" x14ac:dyDescent="0.25">
      <c r="A84" s="7"/>
      <c r="B84" s="8"/>
      <c r="C84" s="151"/>
      <c r="D84" s="1083"/>
      <c r="E84" s="1157"/>
      <c r="F84" s="645"/>
      <c r="G84" s="175"/>
      <c r="H84" s="48"/>
      <c r="I84" s="48"/>
      <c r="J84" s="43"/>
      <c r="K84" s="379" t="s">
        <v>156</v>
      </c>
      <c r="L84" s="97">
        <v>80</v>
      </c>
      <c r="M84" s="279">
        <v>80</v>
      </c>
      <c r="N84" s="113">
        <v>80</v>
      </c>
    </row>
    <row r="85" spans="1:15" s="257" customFormat="1" ht="28.5" customHeight="1" x14ac:dyDescent="0.25">
      <c r="A85" s="1121"/>
      <c r="B85" s="1124"/>
      <c r="C85" s="1127"/>
      <c r="D85" s="1131" t="s">
        <v>177</v>
      </c>
      <c r="E85" s="237" t="s">
        <v>39</v>
      </c>
      <c r="F85" s="1134">
        <v>5</v>
      </c>
      <c r="G85" s="131"/>
      <c r="H85" s="124"/>
      <c r="I85" s="42"/>
      <c r="J85" s="43"/>
      <c r="K85" s="749" t="s">
        <v>93</v>
      </c>
      <c r="L85" s="318">
        <v>100</v>
      </c>
      <c r="M85" s="750"/>
      <c r="N85" s="751"/>
      <c r="O85" s="579"/>
    </row>
    <row r="86" spans="1:15" s="257" customFormat="1" ht="15.75" customHeight="1" x14ac:dyDescent="0.25">
      <c r="A86" s="1122"/>
      <c r="B86" s="1125"/>
      <c r="C86" s="1128"/>
      <c r="D86" s="1132"/>
      <c r="E86" s="1144" t="s">
        <v>61</v>
      </c>
      <c r="F86" s="1135"/>
      <c r="G86" s="131"/>
      <c r="H86" s="124"/>
      <c r="I86" s="42"/>
      <c r="J86" s="43"/>
      <c r="K86" s="748" t="s">
        <v>88</v>
      </c>
      <c r="L86" s="88">
        <v>1</v>
      </c>
      <c r="M86" s="315"/>
      <c r="N86" s="251"/>
    </row>
    <row r="87" spans="1:15" s="257" customFormat="1" ht="15.75" customHeight="1" x14ac:dyDescent="0.25">
      <c r="A87" s="1123"/>
      <c r="B87" s="1126"/>
      <c r="C87" s="1129"/>
      <c r="D87" s="1132"/>
      <c r="E87" s="1145"/>
      <c r="F87" s="1135"/>
      <c r="G87" s="131"/>
      <c r="H87" s="124"/>
      <c r="I87" s="42"/>
      <c r="J87" s="43"/>
      <c r="K87" s="1160" t="s">
        <v>191</v>
      </c>
      <c r="L87" s="255"/>
      <c r="M87" s="315"/>
      <c r="N87" s="251"/>
    </row>
    <row r="88" spans="1:15" s="257" customFormat="1" ht="19.5" customHeight="1" x14ac:dyDescent="0.25">
      <c r="A88" s="1123"/>
      <c r="B88" s="1126"/>
      <c r="C88" s="1129"/>
      <c r="D88" s="1133"/>
      <c r="E88" s="1146"/>
      <c r="F88" s="1135"/>
      <c r="G88" s="131"/>
      <c r="H88" s="736"/>
      <c r="I88" s="42"/>
      <c r="J88" s="43"/>
      <c r="K88" s="1161"/>
      <c r="L88" s="249"/>
      <c r="M88" s="317"/>
      <c r="N88" s="122"/>
    </row>
    <row r="89" spans="1:15" s="25" customFormat="1" ht="15" customHeight="1" x14ac:dyDescent="0.25">
      <c r="A89" s="1123"/>
      <c r="B89" s="1126"/>
      <c r="C89" s="1130"/>
      <c r="D89" s="1147" t="s">
        <v>128</v>
      </c>
      <c r="E89" s="473" t="s">
        <v>39</v>
      </c>
      <c r="F89" s="1150"/>
      <c r="G89" s="313"/>
      <c r="H89" s="43"/>
      <c r="I89" s="48"/>
      <c r="J89" s="43"/>
      <c r="K89" s="1151" t="s">
        <v>130</v>
      </c>
      <c r="L89" s="662">
        <v>30</v>
      </c>
      <c r="M89" s="165">
        <v>70</v>
      </c>
      <c r="N89" s="426">
        <v>100</v>
      </c>
    </row>
    <row r="90" spans="1:15" s="25" customFormat="1" ht="16.5" customHeight="1" x14ac:dyDescent="0.25">
      <c r="A90" s="1123"/>
      <c r="B90" s="1126"/>
      <c r="C90" s="1130"/>
      <c r="D90" s="1148"/>
      <c r="E90" s="1153" t="s">
        <v>129</v>
      </c>
      <c r="F90" s="1150"/>
      <c r="G90" s="313"/>
      <c r="H90" s="43"/>
      <c r="I90" s="48"/>
      <c r="J90" s="43"/>
      <c r="K90" s="1152"/>
      <c r="L90" s="255"/>
      <c r="M90" s="309"/>
      <c r="N90" s="486"/>
    </row>
    <row r="91" spans="1:15" s="25" customFormat="1" ht="10.5" customHeight="1" x14ac:dyDescent="0.25">
      <c r="A91" s="1123"/>
      <c r="B91" s="1126"/>
      <c r="C91" s="1130"/>
      <c r="D91" s="1148"/>
      <c r="E91" s="1138"/>
      <c r="F91" s="1150"/>
      <c r="G91" s="313"/>
      <c r="H91" s="124"/>
      <c r="I91" s="48"/>
      <c r="J91" s="43"/>
      <c r="K91" s="1152"/>
      <c r="L91" s="255"/>
      <c r="M91" s="309"/>
      <c r="N91" s="486"/>
    </row>
    <row r="92" spans="1:15" s="25" customFormat="1" ht="12" customHeight="1" x14ac:dyDescent="0.25">
      <c r="A92" s="1123"/>
      <c r="B92" s="1126"/>
      <c r="C92" s="1130"/>
      <c r="D92" s="1149"/>
      <c r="E92" s="1154"/>
      <c r="F92" s="1150"/>
      <c r="G92" s="313"/>
      <c r="H92" s="43"/>
      <c r="I92" s="48"/>
      <c r="J92" s="43"/>
      <c r="K92" s="316"/>
      <c r="L92" s="249"/>
      <c r="M92" s="273"/>
      <c r="N92" s="431"/>
    </row>
    <row r="93" spans="1:15" s="25" customFormat="1" ht="12" customHeight="1" x14ac:dyDescent="0.25">
      <c r="A93" s="1123"/>
      <c r="B93" s="1126"/>
      <c r="C93" s="1130"/>
      <c r="D93" s="1177" t="s">
        <v>178</v>
      </c>
      <c r="E93" s="769" t="s">
        <v>39</v>
      </c>
      <c r="F93" s="626"/>
      <c r="G93" s="43"/>
      <c r="H93" s="43"/>
      <c r="I93" s="48"/>
      <c r="J93" s="43"/>
      <c r="K93" s="1179" t="s">
        <v>199</v>
      </c>
      <c r="L93" s="103">
        <v>0</v>
      </c>
      <c r="M93" s="165">
        <v>80</v>
      </c>
      <c r="N93" s="426">
        <v>100</v>
      </c>
    </row>
    <row r="94" spans="1:15" s="25" customFormat="1" ht="17.25" customHeight="1" x14ac:dyDescent="0.25">
      <c r="A94" s="1123"/>
      <c r="B94" s="1126"/>
      <c r="C94" s="1130"/>
      <c r="D94" s="1072"/>
      <c r="E94" s="1153" t="s">
        <v>61</v>
      </c>
      <c r="F94" s="626"/>
      <c r="G94" s="43"/>
      <c r="H94" s="43"/>
      <c r="I94" s="48"/>
      <c r="J94" s="43"/>
      <c r="K94" s="1162"/>
      <c r="L94" s="179"/>
      <c r="M94" s="309"/>
      <c r="N94" s="486"/>
    </row>
    <row r="95" spans="1:15" s="25" customFormat="1" ht="19.5" customHeight="1" x14ac:dyDescent="0.25">
      <c r="A95" s="1123"/>
      <c r="B95" s="1126"/>
      <c r="C95" s="1130"/>
      <c r="D95" s="1178"/>
      <c r="E95" s="1154"/>
      <c r="F95" s="626"/>
      <c r="G95" s="124"/>
      <c r="H95" s="43"/>
      <c r="I95" s="48"/>
      <c r="J95" s="43"/>
      <c r="K95" s="1180"/>
      <c r="L95" s="770"/>
      <c r="M95" s="273"/>
      <c r="N95" s="431"/>
    </row>
    <row r="96" spans="1:15" s="25" customFormat="1" ht="13.5" customHeight="1" x14ac:dyDescent="0.25">
      <c r="A96" s="1123"/>
      <c r="B96" s="1126"/>
      <c r="C96" s="1130"/>
      <c r="D96" s="1072" t="s">
        <v>82</v>
      </c>
      <c r="E96" s="510" t="s">
        <v>39</v>
      </c>
      <c r="F96" s="768"/>
      <c r="G96" s="43"/>
      <c r="H96" s="43"/>
      <c r="I96" s="48"/>
      <c r="J96" s="43"/>
      <c r="K96" s="1162" t="s">
        <v>192</v>
      </c>
      <c r="L96" s="179">
        <v>100</v>
      </c>
      <c r="M96" s="309"/>
      <c r="N96" s="486"/>
    </row>
    <row r="97" spans="1:15" s="25" customFormat="1" ht="17.25" customHeight="1" x14ac:dyDescent="0.25">
      <c r="A97" s="1123"/>
      <c r="B97" s="1126"/>
      <c r="C97" s="1130"/>
      <c r="D97" s="1072"/>
      <c r="E97" s="1153" t="s">
        <v>61</v>
      </c>
      <c r="F97" s="768"/>
      <c r="G97" s="43"/>
      <c r="H97" s="43"/>
      <c r="I97" s="48"/>
      <c r="J97" s="43"/>
      <c r="K97" s="1162"/>
      <c r="L97" s="179"/>
      <c r="M97" s="309"/>
      <c r="N97" s="486"/>
    </row>
    <row r="98" spans="1:15" s="25" customFormat="1" ht="18" customHeight="1" x14ac:dyDescent="0.25">
      <c r="A98" s="1123"/>
      <c r="B98" s="1126"/>
      <c r="C98" s="1130"/>
      <c r="D98" s="1072"/>
      <c r="E98" s="1138"/>
      <c r="F98" s="768"/>
      <c r="G98" s="124"/>
      <c r="H98" s="43"/>
      <c r="I98" s="48"/>
      <c r="J98" s="43"/>
      <c r="K98" s="1102"/>
      <c r="L98" s="179"/>
      <c r="M98" s="309"/>
      <c r="N98" s="486"/>
    </row>
    <row r="99" spans="1:15" s="257" customFormat="1" ht="17.25" customHeight="1" thickBot="1" x14ac:dyDescent="0.3">
      <c r="A99" s="1123"/>
      <c r="B99" s="1126"/>
      <c r="C99" s="1130"/>
      <c r="D99" s="687"/>
      <c r="E99" s="297"/>
      <c r="F99" s="688"/>
      <c r="G99" s="288" t="s">
        <v>27</v>
      </c>
      <c r="H99" s="72">
        <f>SUM(H68:H95)</f>
        <v>1873.4</v>
      </c>
      <c r="I99" s="72">
        <f>SUM(I68:I95)</f>
        <v>2091.5</v>
      </c>
      <c r="J99" s="72">
        <f>SUM(J68:J95)</f>
        <v>1585.8999999999999</v>
      </c>
      <c r="K99" s="159"/>
      <c r="L99" s="89"/>
      <c r="M99" s="342"/>
      <c r="N99" s="186"/>
    </row>
    <row r="100" spans="1:15" s="257" customFormat="1" ht="14.1" customHeight="1" x14ac:dyDescent="0.25">
      <c r="A100" s="31" t="s">
        <v>14</v>
      </c>
      <c r="B100" s="32" t="s">
        <v>36</v>
      </c>
      <c r="C100" s="680" t="s">
        <v>36</v>
      </c>
      <c r="D100" s="1158" t="s">
        <v>122</v>
      </c>
      <c r="E100" s="1170" t="s">
        <v>186</v>
      </c>
      <c r="F100" s="644">
        <v>5</v>
      </c>
      <c r="G100" s="267" t="s">
        <v>42</v>
      </c>
      <c r="H100" s="161">
        <v>72.5</v>
      </c>
      <c r="I100" s="110">
        <v>77</v>
      </c>
      <c r="J100" s="110">
        <v>100</v>
      </c>
      <c r="K100" s="284"/>
      <c r="L100" s="285"/>
      <c r="M100" s="284"/>
      <c r="N100" s="663"/>
    </row>
    <row r="101" spans="1:15" s="257" customFormat="1" ht="14.1" customHeight="1" x14ac:dyDescent="0.25">
      <c r="A101" s="703"/>
      <c r="B101" s="704"/>
      <c r="C101" s="705"/>
      <c r="D101" s="1168"/>
      <c r="E101" s="1171"/>
      <c r="F101" s="710"/>
      <c r="G101" s="138" t="s">
        <v>30</v>
      </c>
      <c r="H101" s="48"/>
      <c r="I101" s="43"/>
      <c r="J101" s="43">
        <v>30.6</v>
      </c>
      <c r="K101" s="282"/>
      <c r="L101" s="701"/>
      <c r="M101" s="282"/>
      <c r="N101" s="376"/>
    </row>
    <row r="102" spans="1:15" s="257" customFormat="1" ht="14.1" customHeight="1" x14ac:dyDescent="0.25">
      <c r="A102" s="774"/>
      <c r="B102" s="775"/>
      <c r="C102" s="776"/>
      <c r="D102" s="1168"/>
      <c r="E102" s="1171"/>
      <c r="F102" s="772"/>
      <c r="G102" s="138" t="s">
        <v>106</v>
      </c>
      <c r="H102" s="48">
        <v>65.400000000000006</v>
      </c>
      <c r="I102" s="43"/>
      <c r="J102" s="43"/>
      <c r="K102" s="282"/>
      <c r="L102" s="773"/>
      <c r="M102" s="282"/>
      <c r="N102" s="376"/>
    </row>
    <row r="103" spans="1:15" s="257" customFormat="1" ht="14.1" customHeight="1" x14ac:dyDescent="0.25">
      <c r="A103" s="864"/>
      <c r="B103" s="865"/>
      <c r="C103" s="866"/>
      <c r="D103" s="1168"/>
      <c r="E103" s="1171"/>
      <c r="F103" s="869"/>
      <c r="G103" s="138" t="s">
        <v>147</v>
      </c>
      <c r="H103" s="48">
        <v>37.799999999999997</v>
      </c>
      <c r="I103" s="43"/>
      <c r="J103" s="43"/>
      <c r="K103" s="282"/>
      <c r="L103" s="860"/>
      <c r="M103" s="282"/>
      <c r="N103" s="376"/>
    </row>
    <row r="104" spans="1:15" s="257" customFormat="1" ht="14.1" customHeight="1" x14ac:dyDescent="0.25">
      <c r="A104" s="633"/>
      <c r="B104" s="643"/>
      <c r="C104" s="679"/>
      <c r="D104" s="1169"/>
      <c r="E104" s="1171"/>
      <c r="F104" s="645"/>
      <c r="G104" s="138" t="s">
        <v>108</v>
      </c>
      <c r="H104" s="48">
        <v>170.8</v>
      </c>
      <c r="I104" s="43"/>
      <c r="J104" s="43"/>
      <c r="K104" s="282"/>
      <c r="L104" s="637"/>
      <c r="M104" s="282"/>
      <c r="N104" s="376"/>
    </row>
    <row r="105" spans="1:15" s="257" customFormat="1" ht="15.75" customHeight="1" x14ac:dyDescent="0.2">
      <c r="A105" s="624"/>
      <c r="B105" s="642"/>
      <c r="C105" s="679"/>
      <c r="D105" s="1172" t="s">
        <v>101</v>
      </c>
      <c r="E105" s="1144" t="s">
        <v>58</v>
      </c>
      <c r="F105" s="504"/>
      <c r="G105" s="241"/>
      <c r="H105" s="46"/>
      <c r="I105" s="46"/>
      <c r="J105" s="46"/>
      <c r="K105" s="1174" t="s">
        <v>134</v>
      </c>
      <c r="L105" s="662">
        <v>100</v>
      </c>
      <c r="M105" s="198"/>
      <c r="N105" s="426"/>
      <c r="O105" s="428"/>
    </row>
    <row r="106" spans="1:15" s="257" customFormat="1" ht="13.5" customHeight="1" x14ac:dyDescent="0.2">
      <c r="A106" s="624"/>
      <c r="B106" s="642"/>
      <c r="C106" s="679"/>
      <c r="D106" s="1002"/>
      <c r="E106" s="1145"/>
      <c r="F106" s="645"/>
      <c r="G106" s="175"/>
      <c r="H106" s="43"/>
      <c r="I106" s="43"/>
      <c r="J106" s="43"/>
      <c r="K106" s="1175"/>
      <c r="L106" s="255"/>
      <c r="M106" s="195"/>
      <c r="N106" s="486"/>
      <c r="O106" s="428"/>
    </row>
    <row r="107" spans="1:15" s="257" customFormat="1" ht="16.5" customHeight="1" x14ac:dyDescent="0.2">
      <c r="A107" s="624"/>
      <c r="B107" s="642"/>
      <c r="C107" s="679"/>
      <c r="D107" s="1117"/>
      <c r="E107" s="1173"/>
      <c r="F107" s="645"/>
      <c r="G107" s="138"/>
      <c r="H107" s="43"/>
      <c r="I107" s="43"/>
      <c r="J107" s="43"/>
      <c r="K107" s="1176"/>
      <c r="L107" s="249"/>
      <c r="M107" s="248"/>
      <c r="N107" s="431"/>
      <c r="O107" s="475"/>
    </row>
    <row r="108" spans="1:15" s="257" customFormat="1" ht="16.5" customHeight="1" x14ac:dyDescent="0.2">
      <c r="A108" s="624"/>
      <c r="B108" s="642"/>
      <c r="C108" s="679"/>
      <c r="D108" s="1002" t="s">
        <v>125</v>
      </c>
      <c r="E108" s="301"/>
      <c r="F108" s="645"/>
      <c r="G108" s="138"/>
      <c r="H108" s="43"/>
      <c r="I108" s="43"/>
      <c r="J108" s="43"/>
      <c r="K108" s="306" t="s">
        <v>83</v>
      </c>
      <c r="L108" s="225"/>
      <c r="M108" s="437"/>
      <c r="N108" s="307">
        <v>1</v>
      </c>
      <c r="O108" s="1163"/>
    </row>
    <row r="109" spans="1:15" s="257" customFormat="1" ht="6" customHeight="1" x14ac:dyDescent="0.2">
      <c r="A109" s="624"/>
      <c r="B109" s="642"/>
      <c r="C109" s="679"/>
      <c r="D109" s="1002"/>
      <c r="E109" s="301"/>
      <c r="F109" s="645"/>
      <c r="G109" s="138"/>
      <c r="H109" s="43"/>
      <c r="I109" s="43"/>
      <c r="J109" s="43"/>
      <c r="K109" s="308"/>
      <c r="L109" s="255"/>
      <c r="M109" s="309"/>
      <c r="N109" s="486"/>
      <c r="O109" s="1163"/>
    </row>
    <row r="110" spans="1:15" s="257" customFormat="1" ht="16.5" customHeight="1" x14ac:dyDescent="0.2">
      <c r="A110" s="624"/>
      <c r="B110" s="642"/>
      <c r="C110" s="679"/>
      <c r="D110" s="1188"/>
      <c r="E110" s="301"/>
      <c r="F110" s="645"/>
      <c r="G110" s="138"/>
      <c r="H110" s="43"/>
      <c r="I110" s="43"/>
      <c r="J110" s="43"/>
      <c r="K110" s="654"/>
      <c r="L110" s="253"/>
      <c r="M110" s="273"/>
      <c r="N110" s="431"/>
      <c r="O110" s="475"/>
    </row>
    <row r="111" spans="1:15" s="25" customFormat="1" ht="18" customHeight="1" x14ac:dyDescent="0.25">
      <c r="A111" s="226"/>
      <c r="B111" s="227"/>
      <c r="C111" s="275"/>
      <c r="D111" s="1164" t="s">
        <v>120</v>
      </c>
      <c r="E111" s="228"/>
      <c r="F111" s="283"/>
      <c r="G111" s="43"/>
      <c r="H111" s="252"/>
      <c r="I111" s="48"/>
      <c r="J111" s="43"/>
      <c r="K111" s="234" t="s">
        <v>96</v>
      </c>
      <c r="L111" s="235"/>
      <c r="M111" s="309">
        <v>1</v>
      </c>
      <c r="N111" s="486"/>
      <c r="O111" s="229"/>
    </row>
    <row r="112" spans="1:15" s="25" customFormat="1" ht="18.75" customHeight="1" x14ac:dyDescent="0.25">
      <c r="A112" s="226"/>
      <c r="B112" s="227"/>
      <c r="C112" s="275"/>
      <c r="D112" s="1165"/>
      <c r="E112" s="230"/>
      <c r="F112" s="283"/>
      <c r="G112" s="43"/>
      <c r="H112" s="252"/>
      <c r="I112" s="48"/>
      <c r="J112" s="43"/>
      <c r="K112" s="1070" t="s">
        <v>121</v>
      </c>
      <c r="L112" s="310"/>
      <c r="M112" s="309"/>
      <c r="N112" s="486"/>
      <c r="O112" s="229"/>
    </row>
    <row r="113" spans="1:15" s="25" customFormat="1" ht="5.25" customHeight="1" x14ac:dyDescent="0.25">
      <c r="A113" s="226"/>
      <c r="B113" s="227"/>
      <c r="C113" s="275"/>
      <c r="D113" s="1166"/>
      <c r="E113" s="230"/>
      <c r="F113" s="283"/>
      <c r="G113" s="43"/>
      <c r="H113" s="252"/>
      <c r="I113" s="48"/>
      <c r="J113" s="43"/>
      <c r="K113" s="1167"/>
      <c r="L113" s="216"/>
      <c r="M113" s="273"/>
      <c r="N113" s="431"/>
    </row>
    <row r="114" spans="1:15" s="25" customFormat="1" ht="18.75" customHeight="1" x14ac:dyDescent="0.25">
      <c r="A114" s="226"/>
      <c r="B114" s="227"/>
      <c r="C114" s="275"/>
      <c r="D114" s="1164" t="s">
        <v>146</v>
      </c>
      <c r="E114" s="230"/>
      <c r="F114" s="283"/>
      <c r="G114" s="43"/>
      <c r="H114" s="252"/>
      <c r="I114" s="48"/>
      <c r="J114" s="43"/>
      <c r="K114" s="234" t="s">
        <v>96</v>
      </c>
      <c r="L114" s="235"/>
      <c r="M114" s="309"/>
      <c r="N114" s="486">
        <v>1</v>
      </c>
      <c r="O114" s="229"/>
    </row>
    <row r="115" spans="1:15" s="25" customFormat="1" ht="12.75" customHeight="1" x14ac:dyDescent="0.25">
      <c r="A115" s="226"/>
      <c r="B115" s="227"/>
      <c r="C115" s="275"/>
      <c r="D115" s="1181"/>
      <c r="E115" s="230"/>
      <c r="F115" s="283"/>
      <c r="G115" s="43"/>
      <c r="H115" s="252"/>
      <c r="I115" s="48"/>
      <c r="J115" s="43"/>
      <c r="K115" s="654"/>
      <c r="L115" s="248"/>
      <c r="M115" s="273"/>
      <c r="N115" s="431"/>
    </row>
    <row r="116" spans="1:15" s="25" customFormat="1" ht="18.75" customHeight="1" x14ac:dyDescent="0.25">
      <c r="A116" s="226"/>
      <c r="B116" s="227"/>
      <c r="C116" s="275"/>
      <c r="D116" s="1164" t="s">
        <v>185</v>
      </c>
      <c r="E116" s="230"/>
      <c r="F116" s="283"/>
      <c r="G116" s="43"/>
      <c r="H116" s="252"/>
      <c r="I116" s="48"/>
      <c r="J116" s="48"/>
      <c r="K116" s="234" t="s">
        <v>96</v>
      </c>
      <c r="L116" s="235"/>
      <c r="M116" s="309"/>
      <c r="N116" s="486">
        <v>1</v>
      </c>
      <c r="O116" s="229"/>
    </row>
    <row r="117" spans="1:15" s="25" customFormat="1" ht="23.25" customHeight="1" x14ac:dyDescent="0.25">
      <c r="A117" s="226"/>
      <c r="B117" s="227"/>
      <c r="C117" s="275"/>
      <c r="D117" s="1164"/>
      <c r="E117" s="230"/>
      <c r="F117" s="283"/>
      <c r="G117" s="47"/>
      <c r="H117" s="50"/>
      <c r="I117" s="50"/>
      <c r="J117" s="50"/>
      <c r="K117" s="706"/>
      <c r="L117" s="195"/>
      <c r="M117" s="309"/>
      <c r="N117" s="486"/>
    </row>
    <row r="118" spans="1:15" s="257" customFormat="1" ht="17.25" customHeight="1" thickBot="1" x14ac:dyDescent="0.3">
      <c r="A118" s="226"/>
      <c r="B118" s="227"/>
      <c r="C118" s="246"/>
      <c r="D118" s="687"/>
      <c r="E118" s="297"/>
      <c r="F118" s="688"/>
      <c r="G118" s="288" t="s">
        <v>27</v>
      </c>
      <c r="H118" s="72">
        <f>SUM(H100:H117)</f>
        <v>346.5</v>
      </c>
      <c r="I118" s="72">
        <f t="shared" ref="I118:J118" si="10">SUM(I100:I117)</f>
        <v>77</v>
      </c>
      <c r="J118" s="72">
        <f t="shared" si="10"/>
        <v>130.6</v>
      </c>
      <c r="K118" s="159"/>
      <c r="L118" s="89"/>
      <c r="M118" s="342"/>
      <c r="N118" s="186"/>
    </row>
    <row r="119" spans="1:15" s="257" customFormat="1" ht="15" customHeight="1" x14ac:dyDescent="0.25">
      <c r="A119" s="31" t="s">
        <v>14</v>
      </c>
      <c r="B119" s="32" t="s">
        <v>36</v>
      </c>
      <c r="C119" s="680" t="s">
        <v>38</v>
      </c>
      <c r="D119" s="707" t="s">
        <v>60</v>
      </c>
      <c r="E119" s="711"/>
      <c r="F119" s="738">
        <v>6</v>
      </c>
      <c r="G119" s="267" t="s">
        <v>30</v>
      </c>
      <c r="H119" s="983">
        <f>37.3+6.8</f>
        <v>44.099999999999994</v>
      </c>
      <c r="I119" s="110">
        <v>33.9</v>
      </c>
      <c r="J119" s="110">
        <v>37.299999999999997</v>
      </c>
      <c r="K119" s="284"/>
      <c r="L119" s="285"/>
      <c r="M119" s="284"/>
      <c r="N119" s="713"/>
    </row>
    <row r="120" spans="1:15" s="257" customFormat="1" ht="15" customHeight="1" x14ac:dyDescent="0.25">
      <c r="A120" s="930"/>
      <c r="B120" s="931"/>
      <c r="C120" s="932"/>
      <c r="D120" s="278"/>
      <c r="E120" s="932"/>
      <c r="F120" s="934"/>
      <c r="G120" s="175" t="s">
        <v>35</v>
      </c>
      <c r="H120" s="164">
        <v>5.3</v>
      </c>
      <c r="I120" s="43"/>
      <c r="J120" s="43"/>
      <c r="K120" s="282"/>
      <c r="L120" s="929"/>
      <c r="M120" s="282"/>
      <c r="N120" s="935"/>
    </row>
    <row r="121" spans="1:15" s="257" customFormat="1" ht="14.25" customHeight="1" x14ac:dyDescent="0.25">
      <c r="A121" s="741"/>
      <c r="B121" s="742"/>
      <c r="C121" s="743"/>
      <c r="D121" s="278"/>
      <c r="E121" s="743"/>
      <c r="F121" s="728"/>
      <c r="G121" s="745" t="s">
        <v>63</v>
      </c>
      <c r="H121" s="141">
        <v>10</v>
      </c>
      <c r="I121" s="603"/>
      <c r="J121" s="603"/>
      <c r="K121" s="282"/>
      <c r="L121" s="740"/>
      <c r="M121" s="282"/>
      <c r="N121" s="376"/>
    </row>
    <row r="122" spans="1:15" s="257" customFormat="1" ht="15.75" customHeight="1" x14ac:dyDescent="0.25">
      <c r="A122" s="703"/>
      <c r="B122" s="704"/>
      <c r="C122" s="705"/>
      <c r="D122" s="278"/>
      <c r="E122" s="705"/>
      <c r="F122" s="710">
        <v>5</v>
      </c>
      <c r="G122" s="175" t="s">
        <v>42</v>
      </c>
      <c r="H122" s="42"/>
      <c r="I122" s="43"/>
      <c r="J122" s="43">
        <v>10</v>
      </c>
      <c r="K122" s="282"/>
      <c r="L122" s="701"/>
      <c r="M122" s="282"/>
      <c r="N122" s="376"/>
    </row>
    <row r="123" spans="1:15" s="257" customFormat="1" ht="15" customHeight="1" x14ac:dyDescent="0.25">
      <c r="A123" s="1182"/>
      <c r="B123" s="1183"/>
      <c r="C123" s="1184"/>
      <c r="D123" s="1177" t="s">
        <v>85</v>
      </c>
      <c r="E123" s="1144" t="s">
        <v>61</v>
      </c>
      <c r="F123" s="1186"/>
      <c r="G123" s="639"/>
      <c r="H123" s="46"/>
      <c r="I123" s="69"/>
      <c r="J123" s="46"/>
      <c r="K123" s="1196" t="s">
        <v>135</v>
      </c>
      <c r="L123" s="554">
        <v>1</v>
      </c>
      <c r="M123" s="555">
        <v>1</v>
      </c>
      <c r="N123" s="556">
        <v>1</v>
      </c>
    </row>
    <row r="124" spans="1:15" s="257" customFormat="1" ht="6" customHeight="1" x14ac:dyDescent="0.25">
      <c r="A124" s="1182"/>
      <c r="B124" s="1183"/>
      <c r="C124" s="1184"/>
      <c r="D124" s="1072"/>
      <c r="E124" s="1145"/>
      <c r="F124" s="1187"/>
      <c r="G124" s="138"/>
      <c r="H124" s="43"/>
      <c r="I124" s="42"/>
      <c r="J124" s="43"/>
      <c r="K124" s="1197"/>
      <c r="L124" s="101"/>
      <c r="M124" s="638"/>
      <c r="N124" s="239"/>
    </row>
    <row r="125" spans="1:15" s="257" customFormat="1" ht="20.25" customHeight="1" x14ac:dyDescent="0.25">
      <c r="A125" s="1182"/>
      <c r="B125" s="1183"/>
      <c r="C125" s="1184"/>
      <c r="D125" s="1178"/>
      <c r="E125" s="1185"/>
      <c r="F125" s="1187"/>
      <c r="G125" s="175"/>
      <c r="H125" s="43"/>
      <c r="I125" s="42"/>
      <c r="J125" s="43"/>
      <c r="K125" s="1198"/>
      <c r="L125" s="102"/>
      <c r="M125" s="154"/>
      <c r="N125" s="447"/>
    </row>
    <row r="126" spans="1:15" s="257" customFormat="1" ht="27.75" customHeight="1" x14ac:dyDescent="0.25">
      <c r="A126" s="1121"/>
      <c r="B126" s="1124"/>
      <c r="C126" s="1127"/>
      <c r="D126" s="1131" t="s">
        <v>205</v>
      </c>
      <c r="E126" s="1145"/>
      <c r="F126" s="1203"/>
      <c r="G126" s="286"/>
      <c r="H126" s="43"/>
      <c r="I126" s="42"/>
      <c r="J126" s="43"/>
      <c r="K126" s="274" t="s">
        <v>110</v>
      </c>
      <c r="L126" s="822">
        <v>675</v>
      </c>
      <c r="M126" s="344">
        <v>650</v>
      </c>
      <c r="N126" s="121">
        <v>1200</v>
      </c>
    </row>
    <row r="127" spans="1:15" s="257" customFormat="1" ht="35.25" customHeight="1" x14ac:dyDescent="0.25">
      <c r="A127" s="1199"/>
      <c r="B127" s="1200"/>
      <c r="C127" s="1201"/>
      <c r="D127" s="1202"/>
      <c r="E127" s="1145"/>
      <c r="F127" s="1203"/>
      <c r="G127" s="131"/>
      <c r="H127" s="42"/>
      <c r="I127" s="43"/>
      <c r="J127" s="43"/>
      <c r="K127" s="943" t="s">
        <v>204</v>
      </c>
      <c r="L127" s="770">
        <v>5.3</v>
      </c>
      <c r="M127" s="605"/>
      <c r="N127" s="606"/>
    </row>
    <row r="128" spans="1:15" s="25" customFormat="1" ht="15" customHeight="1" x14ac:dyDescent="0.25">
      <c r="A128" s="646"/>
      <c r="B128" s="587"/>
      <c r="C128" s="673"/>
      <c r="D128" s="1189" t="s">
        <v>182</v>
      </c>
      <c r="E128" s="588"/>
      <c r="F128" s="709"/>
      <c r="G128" s="313"/>
      <c r="H128" s="48"/>
      <c r="I128" s="43"/>
      <c r="J128" s="164"/>
      <c r="K128" s="702" t="s">
        <v>96</v>
      </c>
      <c r="L128" s="712"/>
      <c r="M128" s="589"/>
      <c r="N128" s="426">
        <v>1</v>
      </c>
    </row>
    <row r="129" spans="1:17" s="25" customFormat="1" ht="14.25" customHeight="1" x14ac:dyDescent="0.25">
      <c r="A129" s="646"/>
      <c r="B129" s="587"/>
      <c r="C129" s="430"/>
      <c r="D129" s="1190"/>
      <c r="E129" s="588"/>
      <c r="F129" s="709"/>
      <c r="G129" s="313"/>
      <c r="H129" s="48"/>
      <c r="I129" s="43"/>
      <c r="J129" s="164"/>
      <c r="K129" s="708"/>
      <c r="L129" s="255"/>
      <c r="M129" s="195"/>
      <c r="N129" s="486"/>
    </row>
    <row r="130" spans="1:17" s="25" customFormat="1" ht="14.25" customHeight="1" x14ac:dyDescent="0.25">
      <c r="A130" s="591"/>
      <c r="B130" s="587"/>
      <c r="C130" s="430"/>
      <c r="D130" s="1191"/>
      <c r="E130" s="588"/>
      <c r="F130" s="709"/>
      <c r="G130" s="593"/>
      <c r="H130" s="50"/>
      <c r="I130" s="47"/>
      <c r="J130" s="47"/>
      <c r="K130" s="178"/>
      <c r="L130" s="255"/>
      <c r="M130" s="195"/>
      <c r="N130" s="486"/>
      <c r="Q130" s="229"/>
    </row>
    <row r="131" spans="1:17" s="257" customFormat="1" ht="17.25" customHeight="1" thickBot="1" x14ac:dyDescent="0.3">
      <c r="A131" s="226"/>
      <c r="B131" s="227"/>
      <c r="C131" s="246"/>
      <c r="D131" s="687"/>
      <c r="E131" s="297"/>
      <c r="F131" s="688"/>
      <c r="G131" s="288" t="s">
        <v>27</v>
      </c>
      <c r="H131" s="72">
        <f>SUM(H119:H130)</f>
        <v>59.399999999999991</v>
      </c>
      <c r="I131" s="72">
        <f>SUM(I119:I130)</f>
        <v>33.9</v>
      </c>
      <c r="J131" s="72">
        <f>SUM(J119:J130)</f>
        <v>47.3</v>
      </c>
      <c r="K131" s="159"/>
      <c r="L131" s="89"/>
      <c r="M131" s="342"/>
      <c r="N131" s="186"/>
    </row>
    <row r="132" spans="1:17" s="257" customFormat="1" ht="13.5" thickBot="1" x14ac:dyDescent="0.3">
      <c r="A132" s="26" t="s">
        <v>14</v>
      </c>
      <c r="B132" s="22" t="s">
        <v>36</v>
      </c>
      <c r="C132" s="1107" t="s">
        <v>44</v>
      </c>
      <c r="D132" s="1107"/>
      <c r="E132" s="1107"/>
      <c r="F132" s="1107"/>
      <c r="G132" s="1107"/>
      <c r="H132" s="196">
        <f>H131+H118+H99+H67</f>
        <v>2521.2000000000003</v>
      </c>
      <c r="I132" s="196">
        <f>I131+I118+I99+I67</f>
        <v>2420.5</v>
      </c>
      <c r="J132" s="196">
        <f>J131+J118+J99+J67</f>
        <v>1864.8999999999996</v>
      </c>
      <c r="K132" s="1110"/>
      <c r="L132" s="1110"/>
      <c r="M132" s="1110"/>
      <c r="N132" s="1111"/>
    </row>
    <row r="133" spans="1:17" s="257" customFormat="1" ht="16.5" customHeight="1" thickBot="1" x14ac:dyDescent="0.3">
      <c r="A133" s="21" t="s">
        <v>14</v>
      </c>
      <c r="B133" s="22" t="s">
        <v>38</v>
      </c>
      <c r="C133" s="1192" t="s">
        <v>102</v>
      </c>
      <c r="D133" s="1193"/>
      <c r="E133" s="1193"/>
      <c r="F133" s="1193"/>
      <c r="G133" s="1193"/>
      <c r="H133" s="1194"/>
      <c r="I133" s="1194"/>
      <c r="J133" s="1194"/>
      <c r="K133" s="1193"/>
      <c r="L133" s="1193"/>
      <c r="M133" s="1193"/>
      <c r="N133" s="1195"/>
    </row>
    <row r="134" spans="1:17" s="242" customFormat="1" ht="15.75" customHeight="1" x14ac:dyDescent="0.25">
      <c r="A134" s="243" t="s">
        <v>14</v>
      </c>
      <c r="B134" s="244" t="s">
        <v>38</v>
      </c>
      <c r="C134" s="261" t="s">
        <v>14</v>
      </c>
      <c r="D134" s="1210" t="s">
        <v>200</v>
      </c>
      <c r="E134" s="77"/>
      <c r="F134" s="240">
        <v>1</v>
      </c>
      <c r="G134" s="241" t="s">
        <v>42</v>
      </c>
      <c r="H134" s="71"/>
      <c r="I134" s="46">
        <v>612</v>
      </c>
      <c r="J134" s="46"/>
      <c r="K134" s="1211" t="s">
        <v>136</v>
      </c>
      <c r="L134" s="245"/>
      <c r="M134" s="245">
        <v>100</v>
      </c>
      <c r="N134" s="264"/>
      <c r="O134" s="607"/>
      <c r="P134" s="162"/>
    </row>
    <row r="135" spans="1:17" s="242" customFormat="1" ht="15.75" customHeight="1" x14ac:dyDescent="0.25">
      <c r="A135" s="243"/>
      <c r="B135" s="244"/>
      <c r="C135" s="261"/>
      <c r="D135" s="1002"/>
      <c r="E135" s="77"/>
      <c r="F135" s="240"/>
      <c r="G135" s="175"/>
      <c r="H135" s="48"/>
      <c r="I135" s="48"/>
      <c r="J135" s="48"/>
      <c r="K135" s="1212"/>
      <c r="L135" s="84"/>
      <c r="M135" s="84"/>
      <c r="N135" s="134"/>
      <c r="O135" s="602"/>
      <c r="P135" s="162"/>
    </row>
    <row r="136" spans="1:17" s="242" customFormat="1" ht="45" customHeight="1" x14ac:dyDescent="0.25">
      <c r="A136" s="243"/>
      <c r="B136" s="244"/>
      <c r="C136" s="261"/>
      <c r="D136" s="1172"/>
      <c r="E136" s="77"/>
      <c r="F136" s="240"/>
      <c r="G136" s="75"/>
      <c r="H136" s="50"/>
      <c r="I136" s="59"/>
      <c r="J136" s="59"/>
      <c r="K136" s="1152"/>
      <c r="L136" s="84"/>
      <c r="M136" s="84"/>
      <c r="N136" s="134"/>
      <c r="O136" s="602"/>
      <c r="P136" s="162"/>
    </row>
    <row r="137" spans="1:17" s="257" customFormat="1" ht="18" customHeight="1" thickBot="1" x14ac:dyDescent="0.3">
      <c r="A137" s="243"/>
      <c r="B137" s="244"/>
      <c r="C137" s="261"/>
      <c r="D137" s="629"/>
      <c r="E137" s="77"/>
      <c r="F137" s="240"/>
      <c r="G137" s="289" t="s">
        <v>27</v>
      </c>
      <c r="H137" s="72">
        <f>SUM(H134:H136)</f>
        <v>0</v>
      </c>
      <c r="I137" s="72">
        <f t="shared" ref="I137:J137" si="11">SUM(I133:I136)</f>
        <v>612</v>
      </c>
      <c r="J137" s="72">
        <f t="shared" si="11"/>
        <v>0</v>
      </c>
      <c r="K137" s="108"/>
      <c r="L137" s="303"/>
      <c r="M137" s="342"/>
      <c r="N137" s="186"/>
      <c r="O137" s="11"/>
      <c r="P137" s="11"/>
    </row>
    <row r="138" spans="1:17" s="257" customFormat="1" ht="15" customHeight="1" x14ac:dyDescent="0.25">
      <c r="A138" s="1078" t="s">
        <v>14</v>
      </c>
      <c r="B138" s="1214" t="s">
        <v>38</v>
      </c>
      <c r="C138" s="1080" t="s">
        <v>28</v>
      </c>
      <c r="D138" s="1092" t="s">
        <v>123</v>
      </c>
      <c r="E138" s="1217" t="s">
        <v>39</v>
      </c>
      <c r="F138" s="1220">
        <v>5</v>
      </c>
      <c r="G138" s="137" t="s">
        <v>42</v>
      </c>
      <c r="H138" s="110">
        <v>2.7</v>
      </c>
      <c r="I138" s="110"/>
      <c r="J138" s="110"/>
      <c r="K138" s="708" t="s">
        <v>91</v>
      </c>
      <c r="L138" s="287" t="s">
        <v>218</v>
      </c>
      <c r="M138" s="287" t="s">
        <v>218</v>
      </c>
      <c r="N138" s="543"/>
      <c r="O138" s="658"/>
    </row>
    <row r="139" spans="1:17" s="257" customFormat="1" ht="14.25" customHeight="1" x14ac:dyDescent="0.25">
      <c r="A139" s="1047"/>
      <c r="B139" s="1215"/>
      <c r="C139" s="1081"/>
      <c r="D139" s="1072"/>
      <c r="E139" s="1218"/>
      <c r="F139" s="1221"/>
      <c r="G139" s="138" t="s">
        <v>106</v>
      </c>
      <c r="H139" s="43">
        <v>227.4</v>
      </c>
      <c r="I139" s="43"/>
      <c r="J139" s="43"/>
      <c r="K139" s="1223" t="s">
        <v>175</v>
      </c>
      <c r="L139" s="287"/>
      <c r="M139" s="287" t="s">
        <v>176</v>
      </c>
      <c r="N139" s="543"/>
      <c r="O139" s="658"/>
    </row>
    <row r="140" spans="1:17" s="257" customFormat="1" ht="13.5" customHeight="1" x14ac:dyDescent="0.25">
      <c r="A140" s="1047"/>
      <c r="B140" s="1215"/>
      <c r="C140" s="1081"/>
      <c r="D140" s="1072"/>
      <c r="E140" s="1218"/>
      <c r="F140" s="1221"/>
      <c r="G140" s="138" t="s">
        <v>108</v>
      </c>
      <c r="H140" s="43">
        <f>1299.6-690</f>
        <v>609.59999999999991</v>
      </c>
      <c r="I140" s="43">
        <f>131+690</f>
        <v>821</v>
      </c>
      <c r="J140" s="43"/>
      <c r="K140" s="1224"/>
      <c r="L140" s="287"/>
      <c r="M140" s="287"/>
      <c r="N140" s="543"/>
    </row>
    <row r="141" spans="1:17" s="257" customFormat="1" ht="13.5" customHeight="1" x14ac:dyDescent="0.25">
      <c r="A141" s="1047"/>
      <c r="B141" s="1215"/>
      <c r="C141" s="1081"/>
      <c r="D141" s="1072"/>
      <c r="E141" s="1218"/>
      <c r="F141" s="1221"/>
      <c r="G141" s="138" t="s">
        <v>30</v>
      </c>
      <c r="H141" s="43">
        <v>25</v>
      </c>
      <c r="I141" s="48">
        <v>23</v>
      </c>
      <c r="J141" s="43"/>
      <c r="K141" s="700"/>
      <c r="L141" s="287"/>
      <c r="M141" s="287"/>
      <c r="N141" s="543"/>
    </row>
    <row r="142" spans="1:17" s="257" customFormat="1" ht="13.5" customHeight="1" x14ac:dyDescent="0.25">
      <c r="A142" s="1047"/>
      <c r="B142" s="1215"/>
      <c r="C142" s="1081"/>
      <c r="D142" s="1072"/>
      <c r="E142" s="1218"/>
      <c r="F142" s="1221"/>
      <c r="G142" s="139" t="s">
        <v>147</v>
      </c>
      <c r="H142" s="50">
        <v>146.4</v>
      </c>
      <c r="I142" s="50"/>
      <c r="J142" s="47"/>
      <c r="K142" s="863"/>
      <c r="L142" s="287"/>
      <c r="M142" s="287"/>
      <c r="N142" s="543"/>
    </row>
    <row r="143" spans="1:17" s="257" customFormat="1" ht="15.75" customHeight="1" thickBot="1" x14ac:dyDescent="0.3">
      <c r="A143" s="1213"/>
      <c r="B143" s="1216"/>
      <c r="C143" s="1098"/>
      <c r="D143" s="1073"/>
      <c r="E143" s="1219"/>
      <c r="F143" s="1222"/>
      <c r="G143" s="289" t="s">
        <v>27</v>
      </c>
      <c r="H143" s="156">
        <f>SUM(H138:H142)</f>
        <v>1011.0999999999999</v>
      </c>
      <c r="I143" s="127">
        <f>SUM(I138:I141)</f>
        <v>844</v>
      </c>
      <c r="J143" s="127">
        <f>SUM(J138:J141)</f>
        <v>0</v>
      </c>
      <c r="K143" s="108"/>
      <c r="L143" s="544"/>
      <c r="M143" s="544"/>
      <c r="N143" s="545"/>
    </row>
    <row r="144" spans="1:17" s="257" customFormat="1" ht="13.5" thickBot="1" x14ac:dyDescent="0.3">
      <c r="A144" s="152" t="s">
        <v>14</v>
      </c>
      <c r="B144" s="628" t="s">
        <v>19</v>
      </c>
      <c r="C144" s="1264" t="s">
        <v>44</v>
      </c>
      <c r="D144" s="1265"/>
      <c r="E144" s="1265"/>
      <c r="F144" s="1265"/>
      <c r="G144" s="1265"/>
      <c r="H144" s="52">
        <f>H143+H137</f>
        <v>1011.0999999999999</v>
      </c>
      <c r="I144" s="52">
        <f>I143+I137</f>
        <v>1456</v>
      </c>
      <c r="J144" s="52">
        <f>J143+J137</f>
        <v>0</v>
      </c>
      <c r="K144" s="1204"/>
      <c r="L144" s="1204"/>
      <c r="M144" s="1204"/>
      <c r="N144" s="1205"/>
    </row>
    <row r="145" spans="1:24" s="257" customFormat="1" ht="12.75" customHeight="1" thickBot="1" x14ac:dyDescent="0.3">
      <c r="A145" s="26" t="s">
        <v>14</v>
      </c>
      <c r="B145" s="1206" t="s">
        <v>65</v>
      </c>
      <c r="C145" s="1207"/>
      <c r="D145" s="1207"/>
      <c r="E145" s="1207"/>
      <c r="F145" s="1207"/>
      <c r="G145" s="1207"/>
      <c r="H145" s="53">
        <f>H132+H55+H41+H144</f>
        <v>9803.2000000000007</v>
      </c>
      <c r="I145" s="53">
        <f>I132+I55+I41+I144</f>
        <v>9314.9000000000015</v>
      </c>
      <c r="J145" s="53">
        <f>J132+J55+J41+J144</f>
        <v>7308.8</v>
      </c>
      <c r="K145" s="1208"/>
      <c r="L145" s="1208"/>
      <c r="M145" s="1208"/>
      <c r="N145" s="1209"/>
      <c r="P145" s="11"/>
      <c r="Q145" s="11"/>
      <c r="R145" s="11"/>
      <c r="S145" s="11"/>
      <c r="T145" s="11"/>
      <c r="U145" s="11"/>
      <c r="V145" s="11"/>
      <c r="W145" s="11"/>
      <c r="X145" s="11"/>
    </row>
    <row r="146" spans="1:24" s="257" customFormat="1" ht="13.5" thickBot="1" x14ac:dyDescent="0.3">
      <c r="A146" s="36" t="s">
        <v>19</v>
      </c>
      <c r="B146" s="1251" t="s">
        <v>66</v>
      </c>
      <c r="C146" s="1252"/>
      <c r="D146" s="1252"/>
      <c r="E146" s="1252"/>
      <c r="F146" s="1252"/>
      <c r="G146" s="1252"/>
      <c r="H146" s="54">
        <f t="shared" ref="H146" si="12">H145</f>
        <v>9803.2000000000007</v>
      </c>
      <c r="I146" s="54">
        <f t="shared" ref="I146:J146" si="13">I145</f>
        <v>9314.9000000000015</v>
      </c>
      <c r="J146" s="54">
        <f t="shared" si="13"/>
        <v>7308.8</v>
      </c>
      <c r="K146" s="1253"/>
      <c r="L146" s="1253"/>
      <c r="M146" s="1253"/>
      <c r="N146" s="1254"/>
      <c r="O146" s="11"/>
      <c r="P146" s="11"/>
      <c r="Q146" s="11"/>
      <c r="R146" s="11"/>
      <c r="S146" s="11"/>
      <c r="T146" s="11"/>
      <c r="U146" s="11"/>
      <c r="V146" s="11"/>
      <c r="W146" s="11"/>
      <c r="X146" s="11"/>
    </row>
    <row r="147" spans="1:24" s="160" customFormat="1" ht="15" customHeight="1" x14ac:dyDescent="0.25">
      <c r="A147" s="1255"/>
      <c r="B147" s="1256"/>
      <c r="C147" s="1256"/>
      <c r="D147" s="1256"/>
      <c r="E147" s="1256"/>
      <c r="F147" s="1256"/>
      <c r="G147" s="1256"/>
      <c r="H147" s="1256"/>
      <c r="I147" s="1256"/>
      <c r="J147" s="1256"/>
      <c r="K147" s="630"/>
      <c r="L147" s="630"/>
      <c r="M147" s="630"/>
      <c r="N147" s="630"/>
      <c r="O147" s="630"/>
      <c r="P147" s="162"/>
      <c r="Q147" s="162"/>
      <c r="R147" s="162"/>
      <c r="S147" s="162"/>
      <c r="T147" s="162"/>
      <c r="U147" s="162"/>
      <c r="V147" s="162"/>
      <c r="W147" s="162"/>
      <c r="X147" s="162"/>
    </row>
    <row r="148" spans="1:24" s="162" customFormat="1" ht="14.25" customHeight="1" x14ac:dyDescent="0.25">
      <c r="A148" s="630"/>
      <c r="B148" s="489"/>
      <c r="C148" s="489"/>
      <c r="D148" s="489"/>
      <c r="E148" s="489"/>
      <c r="F148" s="489"/>
      <c r="G148" s="489"/>
      <c r="H148" s="489"/>
      <c r="I148" s="489"/>
      <c r="J148" s="489"/>
      <c r="K148" s="542"/>
      <c r="L148" s="630"/>
      <c r="M148" s="630"/>
      <c r="N148" s="630"/>
      <c r="O148" s="630"/>
    </row>
    <row r="149" spans="1:24" s="37" customFormat="1" ht="16.5" customHeight="1" thickBot="1" x14ac:dyDescent="0.3">
      <c r="A149" s="1257" t="s">
        <v>67</v>
      </c>
      <c r="B149" s="1257"/>
      <c r="C149" s="1257"/>
      <c r="D149" s="1257"/>
      <c r="E149" s="1257"/>
      <c r="F149" s="1257"/>
      <c r="G149" s="1257"/>
      <c r="H149" s="38"/>
      <c r="I149" s="38"/>
      <c r="J149" s="38"/>
      <c r="K149" s="10"/>
      <c r="L149" s="10"/>
      <c r="M149" s="10"/>
      <c r="N149" s="10"/>
      <c r="O149" s="11"/>
      <c r="P149" s="11"/>
      <c r="Q149" s="11"/>
      <c r="R149" s="11"/>
      <c r="S149" s="11"/>
      <c r="T149" s="11"/>
      <c r="U149" s="11"/>
      <c r="V149" s="11"/>
      <c r="W149" s="11"/>
      <c r="X149" s="11"/>
    </row>
    <row r="150" spans="1:24" s="257" customFormat="1" ht="64.5" customHeight="1" thickBot="1" x14ac:dyDescent="0.3">
      <c r="A150" s="1258" t="s">
        <v>68</v>
      </c>
      <c r="B150" s="1259"/>
      <c r="C150" s="1259"/>
      <c r="D150" s="1259"/>
      <c r="E150" s="1259"/>
      <c r="F150" s="1259"/>
      <c r="G150" s="1260"/>
      <c r="H150" s="425" t="s">
        <v>195</v>
      </c>
      <c r="I150" s="320" t="s">
        <v>111</v>
      </c>
      <c r="J150" s="320" t="s">
        <v>154</v>
      </c>
      <c r="K150" s="1"/>
      <c r="L150" s="1"/>
      <c r="M150" s="1"/>
      <c r="N150" s="1"/>
      <c r="O150" s="11"/>
      <c r="P150" s="11"/>
      <c r="Q150" s="11"/>
      <c r="R150" s="11"/>
      <c r="S150" s="11"/>
      <c r="T150" s="11"/>
      <c r="U150" s="11"/>
      <c r="V150" s="11"/>
      <c r="W150" s="11"/>
      <c r="X150" s="11"/>
    </row>
    <row r="151" spans="1:24" s="257" customFormat="1" x14ac:dyDescent="0.25">
      <c r="A151" s="1261" t="s">
        <v>69</v>
      </c>
      <c r="B151" s="1262"/>
      <c r="C151" s="1262"/>
      <c r="D151" s="1262"/>
      <c r="E151" s="1262"/>
      <c r="F151" s="1262"/>
      <c r="G151" s="1263"/>
      <c r="H151" s="423">
        <f>H152+H159+H160+H162+H161</f>
        <v>9714.5</v>
      </c>
      <c r="I151" s="423">
        <f t="shared" ref="I151:J151" si="14">I152+I159+I160+I162+I161</f>
        <v>9292.9</v>
      </c>
      <c r="J151" s="484">
        <f t="shared" si="14"/>
        <v>7308.8</v>
      </c>
      <c r="K151" s="39"/>
      <c r="L151" s="1"/>
      <c r="M151" s="1"/>
      <c r="N151" s="1"/>
      <c r="O151" s="11"/>
      <c r="P151" s="11"/>
      <c r="Q151" s="11"/>
      <c r="R151" s="11"/>
      <c r="S151" s="11"/>
      <c r="T151" s="11"/>
      <c r="U151" s="11"/>
      <c r="V151" s="11"/>
      <c r="W151" s="11"/>
      <c r="X151" s="11"/>
    </row>
    <row r="152" spans="1:24" s="257" customFormat="1" ht="12.75" customHeight="1" x14ac:dyDescent="0.2">
      <c r="A152" s="1245" t="s">
        <v>70</v>
      </c>
      <c r="B152" s="1246"/>
      <c r="C152" s="1246"/>
      <c r="D152" s="1246"/>
      <c r="E152" s="1246"/>
      <c r="F152" s="1246"/>
      <c r="G152" s="1247"/>
      <c r="H152" s="424">
        <f>SUM(H153:H158)</f>
        <v>7410.8</v>
      </c>
      <c r="I152" s="60">
        <f>SUM(I153:I158)</f>
        <v>8853.7999999999993</v>
      </c>
      <c r="J152" s="60">
        <f>SUM(J153:J158)</f>
        <v>6880.2</v>
      </c>
      <c r="K152" s="39"/>
      <c r="L152" s="1"/>
      <c r="M152" s="1"/>
      <c r="N152" s="1"/>
      <c r="P152" s="11"/>
      <c r="Q152" s="11"/>
      <c r="R152" s="11"/>
      <c r="S152" s="11"/>
      <c r="T152" s="11"/>
      <c r="U152" s="11"/>
      <c r="V152" s="11"/>
      <c r="W152" s="11"/>
      <c r="X152" s="11"/>
    </row>
    <row r="153" spans="1:24" s="257" customFormat="1" x14ac:dyDescent="0.25">
      <c r="A153" s="1248" t="s">
        <v>71</v>
      </c>
      <c r="B153" s="1249"/>
      <c r="C153" s="1249"/>
      <c r="D153" s="1249"/>
      <c r="E153" s="1249"/>
      <c r="F153" s="1249"/>
      <c r="G153" s="1250"/>
      <c r="H153" s="417">
        <f>SUMIF(G16:G146,"SB",H16:H146)</f>
        <v>409.4</v>
      </c>
      <c r="I153" s="61">
        <f>SUMIF(G16:G146,"SB",I16:I146)</f>
        <v>1371.4</v>
      </c>
      <c r="J153" s="61">
        <f>SUMIF(G16:G146,"SB",J16:J146)</f>
        <v>1410.8999999999999</v>
      </c>
      <c r="K153" s="39"/>
      <c r="L153" s="1"/>
      <c r="M153" s="1"/>
      <c r="N153" s="1"/>
      <c r="P153" s="11"/>
      <c r="Q153" s="11"/>
      <c r="R153" s="11"/>
      <c r="S153" s="11"/>
      <c r="T153" s="11"/>
      <c r="U153" s="11"/>
      <c r="V153" s="11"/>
      <c r="W153" s="11"/>
      <c r="X153" s="11"/>
    </row>
    <row r="154" spans="1:24" s="257" customFormat="1" ht="15" customHeight="1" x14ac:dyDescent="0.25">
      <c r="A154" s="1242" t="s">
        <v>187</v>
      </c>
      <c r="B154" s="1243"/>
      <c r="C154" s="1243"/>
      <c r="D154" s="1243"/>
      <c r="E154" s="1243"/>
      <c r="F154" s="1243"/>
      <c r="G154" s="1244"/>
      <c r="H154" s="421">
        <f>SUMIF(G16:G146,"SB(AA)",H16:H146)</f>
        <v>420</v>
      </c>
      <c r="I154" s="62">
        <f>SUMIF(G16:G146,"SB(AA)",I16:I146)</f>
        <v>420</v>
      </c>
      <c r="J154" s="62">
        <f>SUMIF(G16:G146,"SB(AA)",J16:J146)</f>
        <v>420.00000000000006</v>
      </c>
      <c r="K154" s="39"/>
      <c r="L154" s="1"/>
      <c r="M154" s="1"/>
      <c r="N154" s="1"/>
      <c r="P154" s="11"/>
      <c r="Q154" s="11"/>
      <c r="R154" s="11"/>
      <c r="S154" s="11"/>
      <c r="T154" s="11"/>
      <c r="U154" s="11"/>
      <c r="V154" s="11"/>
      <c r="W154" s="11"/>
      <c r="X154" s="11"/>
    </row>
    <row r="155" spans="1:24" s="257" customFormat="1" x14ac:dyDescent="0.25">
      <c r="A155" s="1242" t="s">
        <v>72</v>
      </c>
      <c r="B155" s="1243"/>
      <c r="C155" s="1243"/>
      <c r="D155" s="1243"/>
      <c r="E155" s="1243"/>
      <c r="F155" s="1243"/>
      <c r="G155" s="1244"/>
      <c r="H155" s="417">
        <f>SUMIF(G16:G146,"SB(VR)",H16:H146)</f>
        <v>4850</v>
      </c>
      <c r="I155" s="61">
        <f>SUMIF(G16:G146,"SB(VR)",I16:I146)</f>
        <v>4875</v>
      </c>
      <c r="J155" s="61">
        <f>SUMIF(G16:G146,"SB(VR)",J16:J146)</f>
        <v>4875</v>
      </c>
      <c r="K155" s="39"/>
      <c r="L155" s="1"/>
      <c r="M155" s="1"/>
      <c r="N155" s="1"/>
      <c r="P155" s="11"/>
      <c r="Q155" s="11"/>
      <c r="R155" s="11"/>
      <c r="S155" s="11"/>
      <c r="T155" s="11"/>
      <c r="U155" s="11"/>
      <c r="V155" s="11"/>
      <c r="W155" s="11"/>
      <c r="X155" s="11"/>
    </row>
    <row r="156" spans="1:24" s="257" customFormat="1" x14ac:dyDescent="0.25">
      <c r="A156" s="1242" t="s">
        <v>73</v>
      </c>
      <c r="B156" s="1243"/>
      <c r="C156" s="1243"/>
      <c r="D156" s="1243"/>
      <c r="E156" s="1243"/>
      <c r="F156" s="1243"/>
      <c r="G156" s="1244"/>
      <c r="H156" s="417">
        <f>SUMIF(G16:G146,"SB(VB)",H16:H146)</f>
        <v>72.099999999999994</v>
      </c>
      <c r="I156" s="61">
        <f>SUMIF(G16:G146,"SB(VB)",I16:I146)</f>
        <v>110.5</v>
      </c>
      <c r="J156" s="61">
        <f>SUMIF(G16:G146,"SB(VB)",J16:J146)</f>
        <v>14.1</v>
      </c>
      <c r="K156" s="39"/>
      <c r="L156" s="1"/>
      <c r="M156" s="1"/>
      <c r="N156" s="1"/>
    </row>
    <row r="157" spans="1:24" s="257" customFormat="1" ht="27" customHeight="1" x14ac:dyDescent="0.25">
      <c r="A157" s="1242" t="s">
        <v>157</v>
      </c>
      <c r="B157" s="1243"/>
      <c r="C157" s="1243"/>
      <c r="D157" s="1243"/>
      <c r="E157" s="1243"/>
      <c r="F157" s="1243"/>
      <c r="G157" s="1244"/>
      <c r="H157" s="417">
        <f>SUMIF(G16:G146,"SB(ESA)",H16:H146)</f>
        <v>0</v>
      </c>
      <c r="I157" s="61">
        <f>SUMIF(G18:G146,"SB(ESA)",I18:I146)</f>
        <v>0</v>
      </c>
      <c r="J157" s="61">
        <f>SUMIF(G18:G146,"SB(ESA)",J18:J146)</f>
        <v>0</v>
      </c>
      <c r="K157" s="39"/>
      <c r="L157" s="1"/>
      <c r="M157" s="1"/>
      <c r="N157" s="1"/>
    </row>
    <row r="158" spans="1:24" s="257" customFormat="1" ht="27.75" customHeight="1" x14ac:dyDescent="0.25">
      <c r="A158" s="1242" t="s">
        <v>137</v>
      </c>
      <c r="B158" s="1243"/>
      <c r="C158" s="1243"/>
      <c r="D158" s="1243"/>
      <c r="E158" s="1243"/>
      <c r="F158" s="1243"/>
      <c r="G158" s="1244"/>
      <c r="H158" s="417">
        <f>SUMIF(G16:G148,"SB(ES)",H16:H148)</f>
        <v>1659.3</v>
      </c>
      <c r="I158" s="61">
        <f>SUMIF(G16:G146,"SB(ES)",I16:I146)</f>
        <v>2076.9</v>
      </c>
      <c r="J158" s="61">
        <f>SUMIF(G19:G146,"SB(ES)",J19:J146)</f>
        <v>160.19999999999999</v>
      </c>
      <c r="K158" s="546"/>
      <c r="L158" s="1"/>
      <c r="M158" s="1"/>
      <c r="N158" s="1"/>
    </row>
    <row r="159" spans="1:24" s="257" customFormat="1" ht="27.75" customHeight="1" x14ac:dyDescent="0.25">
      <c r="A159" s="1227" t="s">
        <v>74</v>
      </c>
      <c r="B159" s="1228"/>
      <c r="C159" s="1228"/>
      <c r="D159" s="1228"/>
      <c r="E159" s="1228"/>
      <c r="F159" s="1228"/>
      <c r="G159" s="1229"/>
      <c r="H159" s="415">
        <f>SUMIF(G16:G146,"SB(AAL)",H16:H146)</f>
        <v>386</v>
      </c>
      <c r="I159" s="63">
        <f>SUMIF(G18:G146,"SB(AAL)",I18:I146)</f>
        <v>15</v>
      </c>
      <c r="J159" s="63">
        <f>SUMIF(G18:G146,"SB(AAL)",J18:J146)</f>
        <v>0</v>
      </c>
      <c r="K159" s="39"/>
      <c r="L159" s="1"/>
      <c r="M159" s="1"/>
      <c r="N159" s="1"/>
    </row>
    <row r="160" spans="1:24" s="257" customFormat="1" ht="25.5" customHeight="1" x14ac:dyDescent="0.25">
      <c r="A160" s="1227" t="s">
        <v>196</v>
      </c>
      <c r="B160" s="1228"/>
      <c r="C160" s="1228"/>
      <c r="D160" s="1228"/>
      <c r="E160" s="1228"/>
      <c r="F160" s="1228"/>
      <c r="G160" s="1229"/>
      <c r="H160" s="415">
        <f>SUMIF(G16:G146,"SB(ESL)",H16:H146)</f>
        <v>212.2</v>
      </c>
      <c r="I160" s="63">
        <f>SUMIF(G18:G146,"SB(ESl)",I18:I146)</f>
        <v>0</v>
      </c>
      <c r="J160" s="63">
        <f>SUMIF(G18:G146,"SB(ESL)",J18:J146)</f>
        <v>0</v>
      </c>
      <c r="K160" s="39"/>
      <c r="L160" s="1"/>
      <c r="M160" s="1"/>
      <c r="N160" s="1"/>
    </row>
    <row r="161" spans="1:14" s="257" customFormat="1" x14ac:dyDescent="0.25">
      <c r="A161" s="1227" t="s">
        <v>138</v>
      </c>
      <c r="B161" s="1228"/>
      <c r="C161" s="1228"/>
      <c r="D161" s="1228"/>
      <c r="E161" s="1228"/>
      <c r="F161" s="1228"/>
      <c r="G161" s="1229"/>
      <c r="H161" s="415">
        <f>SUMIF(G15:G147,"SB(VRL)",H15:H147)</f>
        <v>1235.5</v>
      </c>
      <c r="I161" s="415">
        <f>SUMIF(G15:G146,"SB(VRL)",I15:I146)</f>
        <v>424.1</v>
      </c>
      <c r="J161" s="63">
        <f>SUMIF(G15:G146,"SB(VRL)",J15:J146)</f>
        <v>428.6</v>
      </c>
      <c r="K161" s="39"/>
      <c r="L161" s="1"/>
      <c r="M161" s="1"/>
      <c r="N161" s="1"/>
    </row>
    <row r="162" spans="1:14" s="257" customFormat="1" x14ac:dyDescent="0.25">
      <c r="A162" s="1227" t="s">
        <v>107</v>
      </c>
      <c r="B162" s="1228"/>
      <c r="C162" s="1228"/>
      <c r="D162" s="1228"/>
      <c r="E162" s="1228"/>
      <c r="F162" s="1228"/>
      <c r="G162" s="1229"/>
      <c r="H162" s="415">
        <f>SUMIF(G18:G147,"SB(L)",H18:H147)</f>
        <v>470</v>
      </c>
      <c r="I162" s="63">
        <f>SUMIF(G19:G147,"SB(L)",I19:I147)</f>
        <v>0</v>
      </c>
      <c r="J162" s="63">
        <f>SUMIF(G19:G147,"SB(L)",J19:J147)</f>
        <v>0</v>
      </c>
      <c r="K162" s="39"/>
      <c r="L162" s="1"/>
      <c r="M162" s="1"/>
      <c r="N162" s="1"/>
    </row>
    <row r="163" spans="1:14" s="257" customFormat="1" x14ac:dyDescent="0.25">
      <c r="A163" s="1230" t="s">
        <v>76</v>
      </c>
      <c r="B163" s="1231"/>
      <c r="C163" s="1231"/>
      <c r="D163" s="1231"/>
      <c r="E163" s="1231"/>
      <c r="F163" s="1231"/>
      <c r="G163" s="1232"/>
      <c r="H163" s="416">
        <f>SUM(H164:H166)</f>
        <v>88.7</v>
      </c>
      <c r="I163" s="55">
        <f>SUM(I164:I166)</f>
        <v>22</v>
      </c>
      <c r="J163" s="55">
        <f>SUM(J164:J166)</f>
        <v>0</v>
      </c>
      <c r="K163" s="39"/>
      <c r="L163" s="1"/>
      <c r="M163" s="1"/>
      <c r="N163" s="1"/>
    </row>
    <row r="164" spans="1:14" s="257" customFormat="1" x14ac:dyDescent="0.25">
      <c r="A164" s="1233" t="s">
        <v>77</v>
      </c>
      <c r="B164" s="1234"/>
      <c r="C164" s="1234"/>
      <c r="D164" s="1234"/>
      <c r="E164" s="1234"/>
      <c r="F164" s="1234"/>
      <c r="G164" s="1235"/>
      <c r="H164" s="417">
        <f>SUMIF(G16:G146,"ES",H16:H146)</f>
        <v>0</v>
      </c>
      <c r="I164" s="61">
        <f>SUMIF(G16:G146,"ES",I16:I146)</f>
        <v>0</v>
      </c>
      <c r="J164" s="61">
        <f>SUMIF(G16:G146,"ES",J16:J146)</f>
        <v>0</v>
      </c>
      <c r="K164" s="39"/>
      <c r="L164" s="1"/>
      <c r="M164" s="1"/>
      <c r="N164" s="1"/>
    </row>
    <row r="165" spans="1:14" s="257" customFormat="1" x14ac:dyDescent="0.25">
      <c r="A165" s="1236" t="s">
        <v>78</v>
      </c>
      <c r="B165" s="1237"/>
      <c r="C165" s="1237"/>
      <c r="D165" s="1237"/>
      <c r="E165" s="1237"/>
      <c r="F165" s="1237"/>
      <c r="G165" s="1238"/>
      <c r="H165" s="417">
        <f>SUMIF(G16:G146,"LRVB",H16:H146)</f>
        <v>0</v>
      </c>
      <c r="I165" s="61">
        <f>SUMIF(G18:G146,"LRVB",I18:I146)</f>
        <v>0</v>
      </c>
      <c r="J165" s="61">
        <f>SUMIF(G18:G146,"LRVB",J18:J146)</f>
        <v>0</v>
      </c>
      <c r="K165" s="39"/>
      <c r="L165" s="1"/>
      <c r="M165" s="1"/>
      <c r="N165" s="1"/>
    </row>
    <row r="166" spans="1:14" s="257" customFormat="1" x14ac:dyDescent="0.25">
      <c r="A166" s="1236" t="s">
        <v>79</v>
      </c>
      <c r="B166" s="1237"/>
      <c r="C166" s="1237"/>
      <c r="D166" s="1237"/>
      <c r="E166" s="1237"/>
      <c r="F166" s="1237"/>
      <c r="G166" s="1238"/>
      <c r="H166" s="417">
        <f>SUMIF(G16:G146,"Kt",H16:H146)</f>
        <v>88.7</v>
      </c>
      <c r="I166" s="61">
        <f>SUMIF(G16:G146,"Kt",I16:I146)</f>
        <v>22</v>
      </c>
      <c r="J166" s="61">
        <f>SUMIF(G16:G146,"Kt",J16:J146)</f>
        <v>0</v>
      </c>
      <c r="K166" s="39"/>
      <c r="L166" s="1"/>
      <c r="M166" s="1"/>
      <c r="N166" s="1"/>
    </row>
    <row r="167" spans="1:14" s="257" customFormat="1" ht="13.5" thickBot="1" x14ac:dyDescent="0.3">
      <c r="A167" s="1239" t="s">
        <v>80</v>
      </c>
      <c r="B167" s="1240"/>
      <c r="C167" s="1240"/>
      <c r="D167" s="1240"/>
      <c r="E167" s="1240"/>
      <c r="F167" s="1240"/>
      <c r="G167" s="1241"/>
      <c r="H167" s="420">
        <f>SUM(H151,H163)</f>
        <v>9803.2000000000007</v>
      </c>
      <c r="I167" s="56">
        <f>SUM(I151,I163)</f>
        <v>9314.9</v>
      </c>
      <c r="J167" s="56">
        <f>SUM(J151,J163)</f>
        <v>7308.8</v>
      </c>
      <c r="K167" s="11"/>
    </row>
    <row r="168" spans="1:14" s="257" customFormat="1" x14ac:dyDescent="0.25">
      <c r="A168" s="1"/>
      <c r="B168" s="1"/>
      <c r="C168" s="1"/>
      <c r="D168" s="1"/>
      <c r="E168" s="1"/>
      <c r="F168" s="2"/>
      <c r="G168" s="614"/>
      <c r="H168" s="614"/>
      <c r="I168" s="614"/>
      <c r="J168" s="614"/>
      <c r="K168" s="39"/>
      <c r="L168" s="1"/>
      <c r="M168" s="1"/>
      <c r="N168" s="1"/>
    </row>
    <row r="169" spans="1:14" x14ac:dyDescent="0.2">
      <c r="E169" s="1000" t="s">
        <v>194</v>
      </c>
      <c r="F169" s="1000"/>
      <c r="G169" s="1000"/>
      <c r="H169" s="1000"/>
      <c r="I169" s="1000"/>
      <c r="J169" s="1000"/>
    </row>
    <row r="170" spans="1:14" x14ac:dyDescent="0.2">
      <c r="H170" s="304"/>
      <c r="I170" s="304"/>
      <c r="J170" s="304"/>
    </row>
    <row r="171" spans="1:14" x14ac:dyDescent="0.2">
      <c r="H171" s="304"/>
      <c r="I171" s="304"/>
      <c r="J171" s="304"/>
    </row>
    <row r="172" spans="1:14" x14ac:dyDescent="0.2">
      <c r="H172" s="304"/>
      <c r="I172" s="304"/>
      <c r="J172" s="304"/>
    </row>
    <row r="173" spans="1:14" x14ac:dyDescent="0.2">
      <c r="I173" s="304"/>
      <c r="J173" s="304"/>
    </row>
  </sheetData>
  <mergeCells count="167">
    <mergeCell ref="K1:N1"/>
    <mergeCell ref="A162:G162"/>
    <mergeCell ref="A163:G163"/>
    <mergeCell ref="A164:G164"/>
    <mergeCell ref="A165:G165"/>
    <mergeCell ref="A166:G166"/>
    <mergeCell ref="A167:G167"/>
    <mergeCell ref="A157:G157"/>
    <mergeCell ref="A158:G158"/>
    <mergeCell ref="A159:G159"/>
    <mergeCell ref="A160:G160"/>
    <mergeCell ref="A161:G161"/>
    <mergeCell ref="A152:G152"/>
    <mergeCell ref="A153:G153"/>
    <mergeCell ref="A154:G154"/>
    <mergeCell ref="A155:G155"/>
    <mergeCell ref="A156:G156"/>
    <mergeCell ref="B146:G146"/>
    <mergeCell ref="K146:N146"/>
    <mergeCell ref="A147:J147"/>
    <mergeCell ref="A149:G149"/>
    <mergeCell ref="A150:G150"/>
    <mergeCell ref="A151:G151"/>
    <mergeCell ref="C144:G144"/>
    <mergeCell ref="K144:N144"/>
    <mergeCell ref="B145:G145"/>
    <mergeCell ref="K145:N145"/>
    <mergeCell ref="D134:D136"/>
    <mergeCell ref="K134:K136"/>
    <mergeCell ref="A138:A143"/>
    <mergeCell ref="B138:B143"/>
    <mergeCell ref="C138:C143"/>
    <mergeCell ref="D138:D143"/>
    <mergeCell ref="E138:E143"/>
    <mergeCell ref="F138:F143"/>
    <mergeCell ref="K139:K140"/>
    <mergeCell ref="D128:D130"/>
    <mergeCell ref="C132:G132"/>
    <mergeCell ref="K132:N132"/>
    <mergeCell ref="C133:N133"/>
    <mergeCell ref="K123:K125"/>
    <mergeCell ref="A126:A127"/>
    <mergeCell ref="B126:B127"/>
    <mergeCell ref="C126:C127"/>
    <mergeCell ref="D126:D127"/>
    <mergeCell ref="E126:E127"/>
    <mergeCell ref="F126:F127"/>
    <mergeCell ref="D114:D115"/>
    <mergeCell ref="D116:D117"/>
    <mergeCell ref="A123:A125"/>
    <mergeCell ref="B123:B125"/>
    <mergeCell ref="C123:C125"/>
    <mergeCell ref="D123:D125"/>
    <mergeCell ref="E123:E125"/>
    <mergeCell ref="F123:F125"/>
    <mergeCell ref="D108:D110"/>
    <mergeCell ref="O108:O109"/>
    <mergeCell ref="D111:D113"/>
    <mergeCell ref="K112:K113"/>
    <mergeCell ref="D100:D104"/>
    <mergeCell ref="E100:E104"/>
    <mergeCell ref="D105:D107"/>
    <mergeCell ref="E105:E107"/>
    <mergeCell ref="K105:K107"/>
    <mergeCell ref="D93:D95"/>
    <mergeCell ref="K93:K95"/>
    <mergeCell ref="E94:E95"/>
    <mergeCell ref="A85:A99"/>
    <mergeCell ref="B85:B99"/>
    <mergeCell ref="C85:C99"/>
    <mergeCell ref="D85:D88"/>
    <mergeCell ref="F85:F88"/>
    <mergeCell ref="C56:N56"/>
    <mergeCell ref="E60:E62"/>
    <mergeCell ref="D64:D65"/>
    <mergeCell ref="D79:D81"/>
    <mergeCell ref="E80:E81"/>
    <mergeCell ref="K80:K81"/>
    <mergeCell ref="E86:E88"/>
    <mergeCell ref="D89:D92"/>
    <mergeCell ref="F89:F92"/>
    <mergeCell ref="K89:K91"/>
    <mergeCell ref="E90:E92"/>
    <mergeCell ref="D82:D84"/>
    <mergeCell ref="E82:E84"/>
    <mergeCell ref="D68:D71"/>
    <mergeCell ref="K87:K88"/>
    <mergeCell ref="D96:D98"/>
    <mergeCell ref="K96:K98"/>
    <mergeCell ref="E97:E98"/>
    <mergeCell ref="E48:E50"/>
    <mergeCell ref="K48:K49"/>
    <mergeCell ref="D52:D53"/>
    <mergeCell ref="K52:K53"/>
    <mergeCell ref="C55:G55"/>
    <mergeCell ref="K55:N55"/>
    <mergeCell ref="C41:G41"/>
    <mergeCell ref="C42:N42"/>
    <mergeCell ref="A43:A47"/>
    <mergeCell ref="B43:B47"/>
    <mergeCell ref="C43:C47"/>
    <mergeCell ref="F43:F47"/>
    <mergeCell ref="D46:D47"/>
    <mergeCell ref="E46:E47"/>
    <mergeCell ref="D43:D45"/>
    <mergeCell ref="K35:K36"/>
    <mergeCell ref="A38:A40"/>
    <mergeCell ref="B38:B40"/>
    <mergeCell ref="C38:C40"/>
    <mergeCell ref="E38:E39"/>
    <mergeCell ref="F38:F40"/>
    <mergeCell ref="A35:A37"/>
    <mergeCell ref="B35:B37"/>
    <mergeCell ref="C35:C37"/>
    <mergeCell ref="D35:D36"/>
    <mergeCell ref="E35:E36"/>
    <mergeCell ref="F35:F37"/>
    <mergeCell ref="A32:A34"/>
    <mergeCell ref="B32:B34"/>
    <mergeCell ref="C32:C34"/>
    <mergeCell ref="D32:D33"/>
    <mergeCell ref="F32:F34"/>
    <mergeCell ref="E33:E34"/>
    <mergeCell ref="A29:A31"/>
    <mergeCell ref="B29:B31"/>
    <mergeCell ref="C29:C31"/>
    <mergeCell ref="D29:D31"/>
    <mergeCell ref="E29:E31"/>
    <mergeCell ref="F29:F31"/>
    <mergeCell ref="C24:C26"/>
    <mergeCell ref="D24:D25"/>
    <mergeCell ref="E24:E26"/>
    <mergeCell ref="F24:F26"/>
    <mergeCell ref="A13:N13"/>
    <mergeCell ref="B14:N14"/>
    <mergeCell ref="C15:N15"/>
    <mergeCell ref="E16:E21"/>
    <mergeCell ref="F16:F21"/>
    <mergeCell ref="D18:D19"/>
    <mergeCell ref="K18:K19"/>
    <mergeCell ref="D20:D21"/>
    <mergeCell ref="D16:D17"/>
    <mergeCell ref="D22:D23"/>
    <mergeCell ref="E169:J169"/>
    <mergeCell ref="D38:D40"/>
    <mergeCell ref="K4:N4"/>
    <mergeCell ref="A5:N5"/>
    <mergeCell ref="A6:N6"/>
    <mergeCell ref="A7:N7"/>
    <mergeCell ref="K8:N8"/>
    <mergeCell ref="A9:A11"/>
    <mergeCell ref="B9:B11"/>
    <mergeCell ref="C9:C11"/>
    <mergeCell ref="D9:D11"/>
    <mergeCell ref="I9:I11"/>
    <mergeCell ref="J9:J11"/>
    <mergeCell ref="K9:N9"/>
    <mergeCell ref="K10:K11"/>
    <mergeCell ref="L10:N10"/>
    <mergeCell ref="A12:N12"/>
    <mergeCell ref="E9:E11"/>
    <mergeCell ref="F9:F11"/>
    <mergeCell ref="G9:G11"/>
    <mergeCell ref="H9:H11"/>
    <mergeCell ref="K20:K21"/>
    <mergeCell ref="A24:A26"/>
    <mergeCell ref="B24:B26"/>
  </mergeCells>
  <printOptions horizontalCentered="1"/>
  <pageMargins left="0.78740157480314965" right="0.39370078740157483" top="0.39370078740157483" bottom="0.39370078740157483" header="0.31496062992125984" footer="0.31496062992125984"/>
  <pageSetup paperSize="9" scale="67" orientation="portrait" r:id="rId1"/>
  <rowBreaks count="2" manualBreakCount="2">
    <brk id="65" max="13" man="1"/>
    <brk id="130"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72"/>
  <sheetViews>
    <sheetView zoomScaleNormal="100" zoomScaleSheetLayoutView="100" workbookViewId="0">
      <selection activeCell="N52" sqref="N52"/>
    </sheetView>
  </sheetViews>
  <sheetFormatPr defaultColWidth="9.140625" defaultRowHeight="12.75" x14ac:dyDescent="0.2"/>
  <cols>
    <col min="1" max="1" width="2.85546875" style="305" customWidth="1"/>
    <col min="2" max="2" width="3.140625" style="305" customWidth="1"/>
    <col min="3" max="3" width="2.85546875" style="305" customWidth="1"/>
    <col min="4" max="4" width="32.85546875" style="305" customWidth="1"/>
    <col min="5" max="5" width="3.7109375" style="305" customWidth="1"/>
    <col min="6" max="6" width="3.85546875" style="305" customWidth="1"/>
    <col min="7" max="7" width="8.5703125" style="305" customWidth="1"/>
    <col min="8" max="16" width="8.7109375" style="305" customWidth="1"/>
    <col min="17" max="17" width="33.140625" style="305" customWidth="1"/>
    <col min="18" max="18" width="4.7109375" style="305" customWidth="1"/>
    <col min="19" max="20" width="4.42578125" style="305" customWidth="1"/>
    <col min="21" max="21" width="42.5703125" style="305" customWidth="1"/>
    <col min="22" max="16384" width="9.140625" style="305"/>
  </cols>
  <sheetData>
    <row r="1" spans="1:37" s="25" customFormat="1" ht="18" customHeight="1" x14ac:dyDescent="0.25">
      <c r="A1" s="242"/>
      <c r="B1" s="242"/>
      <c r="C1" s="242"/>
      <c r="D1" s="242"/>
      <c r="E1" s="345"/>
      <c r="F1" s="346"/>
      <c r="G1" s="347"/>
      <c r="H1" s="242"/>
      <c r="I1" s="242"/>
      <c r="J1" s="242"/>
      <c r="K1" s="242"/>
      <c r="L1" s="242"/>
      <c r="M1" s="242"/>
      <c r="N1" s="242"/>
      <c r="O1" s="348"/>
      <c r="P1" s="349"/>
      <c r="Q1" s="349"/>
      <c r="R1" s="349"/>
      <c r="S1" s="350"/>
      <c r="U1" s="967" t="s">
        <v>142</v>
      </c>
    </row>
    <row r="2" spans="1:37" s="1" customFormat="1" ht="11.25" customHeight="1" x14ac:dyDescent="0.25">
      <c r="A2" s="169"/>
      <c r="B2" s="170"/>
      <c r="C2" s="744"/>
      <c r="E2" s="171"/>
      <c r="F2" s="172"/>
      <c r="G2" s="172"/>
      <c r="H2" s="173"/>
      <c r="I2" s="173"/>
      <c r="J2" s="173"/>
      <c r="K2" s="174"/>
      <c r="L2" s="174"/>
      <c r="M2" s="174"/>
      <c r="N2" s="174"/>
      <c r="O2" s="174"/>
      <c r="P2" s="174"/>
      <c r="Q2" s="335"/>
      <c r="R2" s="335"/>
      <c r="S2" s="335"/>
      <c r="V2" s="39"/>
      <c r="W2" s="39"/>
      <c r="X2" s="39"/>
      <c r="Y2" s="39"/>
      <c r="Z2" s="39"/>
      <c r="AA2" s="39"/>
      <c r="AB2" s="39"/>
      <c r="AC2" s="39"/>
      <c r="AD2" s="39"/>
      <c r="AE2" s="39"/>
      <c r="AF2" s="39"/>
      <c r="AG2" s="39"/>
      <c r="AH2" s="39"/>
      <c r="AI2" s="39"/>
      <c r="AJ2" s="39"/>
      <c r="AK2" s="39"/>
    </row>
    <row r="3" spans="1:37" ht="14.25" customHeight="1" x14ac:dyDescent="0.25">
      <c r="Q3" s="1004"/>
      <c r="R3" s="1005"/>
      <c r="S3" s="1005"/>
      <c r="T3" s="1005"/>
      <c r="U3" s="1005"/>
    </row>
    <row r="4" spans="1:37" s="257" customFormat="1" ht="15.75" x14ac:dyDescent="0.25">
      <c r="A4" s="1006" t="s">
        <v>189</v>
      </c>
      <c r="B4" s="1006"/>
      <c r="C4" s="1006"/>
      <c r="D4" s="1006"/>
      <c r="E4" s="1006"/>
      <c r="F4" s="1006"/>
      <c r="G4" s="1006"/>
      <c r="H4" s="1006"/>
      <c r="I4" s="1006"/>
      <c r="J4" s="1006"/>
      <c r="K4" s="1006"/>
      <c r="L4" s="1006"/>
      <c r="M4" s="1006"/>
      <c r="N4" s="1006"/>
      <c r="O4" s="1006"/>
      <c r="P4" s="1006"/>
      <c r="Q4" s="1006"/>
      <c r="R4" s="1006"/>
      <c r="S4" s="1006"/>
      <c r="T4" s="1006"/>
      <c r="U4" s="1006"/>
    </row>
    <row r="5" spans="1:37" s="257" customFormat="1" ht="15.75" x14ac:dyDescent="0.25">
      <c r="A5" s="1007" t="s">
        <v>0</v>
      </c>
      <c r="B5" s="1007"/>
      <c r="C5" s="1007"/>
      <c r="D5" s="1007"/>
      <c r="E5" s="1007"/>
      <c r="F5" s="1007"/>
      <c r="G5" s="1007"/>
      <c r="H5" s="1007"/>
      <c r="I5" s="1007"/>
      <c r="J5" s="1007"/>
      <c r="K5" s="1007"/>
      <c r="L5" s="1007"/>
      <c r="M5" s="1007"/>
      <c r="N5" s="1007"/>
      <c r="O5" s="1007"/>
      <c r="P5" s="1007"/>
      <c r="Q5" s="1007"/>
      <c r="R5" s="1007"/>
      <c r="S5" s="1007"/>
      <c r="T5" s="1007"/>
      <c r="U5" s="1007"/>
    </row>
    <row r="6" spans="1:37" s="257" customFormat="1" ht="15.75" x14ac:dyDescent="0.25">
      <c r="A6" s="1008" t="s">
        <v>1</v>
      </c>
      <c r="B6" s="1008"/>
      <c r="C6" s="1008"/>
      <c r="D6" s="1008"/>
      <c r="E6" s="1008"/>
      <c r="F6" s="1008"/>
      <c r="G6" s="1008"/>
      <c r="H6" s="1008"/>
      <c r="I6" s="1008"/>
      <c r="J6" s="1008"/>
      <c r="K6" s="1008"/>
      <c r="L6" s="1008"/>
      <c r="M6" s="1008"/>
      <c r="N6" s="1008"/>
      <c r="O6" s="1008"/>
      <c r="P6" s="1008"/>
      <c r="Q6" s="1008"/>
      <c r="R6" s="1008"/>
      <c r="S6" s="1008"/>
      <c r="T6" s="1008"/>
      <c r="U6" s="1008"/>
    </row>
    <row r="7" spans="1:37" s="257" customFormat="1" ht="13.5" thickBot="1" x14ac:dyDescent="0.3">
      <c r="A7" s="1"/>
      <c r="B7" s="1"/>
      <c r="C7" s="1"/>
      <c r="D7" s="1"/>
      <c r="E7" s="1"/>
      <c r="F7" s="2"/>
      <c r="G7" s="172"/>
      <c r="H7" s="172"/>
      <c r="I7" s="172"/>
      <c r="J7" s="172"/>
      <c r="K7" s="172"/>
      <c r="L7" s="172"/>
      <c r="M7" s="172"/>
      <c r="N7" s="172"/>
      <c r="O7" s="172"/>
      <c r="P7" s="172"/>
      <c r="Q7" s="1009" t="s">
        <v>81</v>
      </c>
      <c r="R7" s="1009"/>
      <c r="S7" s="1009"/>
      <c r="T7" s="1009"/>
      <c r="U7" s="1010"/>
    </row>
    <row r="8" spans="1:37" s="257" customFormat="1" ht="50.25" customHeight="1" x14ac:dyDescent="0.25">
      <c r="A8" s="1011" t="s">
        <v>2</v>
      </c>
      <c r="B8" s="1014" t="s">
        <v>3</v>
      </c>
      <c r="C8" s="1014" t="s">
        <v>4</v>
      </c>
      <c r="D8" s="1017" t="s">
        <v>6</v>
      </c>
      <c r="E8" s="1033" t="s">
        <v>7</v>
      </c>
      <c r="F8" s="1036" t="s">
        <v>8</v>
      </c>
      <c r="G8" s="1039" t="s">
        <v>10</v>
      </c>
      <c r="H8" s="1272" t="s">
        <v>159</v>
      </c>
      <c r="I8" s="1269" t="s">
        <v>201</v>
      </c>
      <c r="J8" s="1266" t="s">
        <v>139</v>
      </c>
      <c r="K8" s="1272" t="s">
        <v>111</v>
      </c>
      <c r="L8" s="1269" t="s">
        <v>148</v>
      </c>
      <c r="M8" s="1266" t="s">
        <v>139</v>
      </c>
      <c r="N8" s="1272" t="s">
        <v>154</v>
      </c>
      <c r="O8" s="1269" t="s">
        <v>202</v>
      </c>
      <c r="P8" s="1266" t="s">
        <v>139</v>
      </c>
      <c r="Q8" s="1023" t="s">
        <v>11</v>
      </c>
      <c r="R8" s="1024"/>
      <c r="S8" s="1024"/>
      <c r="T8" s="1024"/>
      <c r="U8" s="336"/>
    </row>
    <row r="9" spans="1:37" s="257" customFormat="1" ht="18.75" customHeight="1" x14ac:dyDescent="0.25">
      <c r="A9" s="1012"/>
      <c r="B9" s="1015"/>
      <c r="C9" s="1015"/>
      <c r="D9" s="1018"/>
      <c r="E9" s="1034"/>
      <c r="F9" s="1037"/>
      <c r="G9" s="1040"/>
      <c r="H9" s="1273"/>
      <c r="I9" s="1270"/>
      <c r="J9" s="1267"/>
      <c r="K9" s="1273"/>
      <c r="L9" s="1270"/>
      <c r="M9" s="1267"/>
      <c r="N9" s="1273"/>
      <c r="O9" s="1270"/>
      <c r="P9" s="1267"/>
      <c r="Q9" s="1026" t="s">
        <v>6</v>
      </c>
      <c r="R9" s="1028" t="s">
        <v>140</v>
      </c>
      <c r="S9" s="1028"/>
      <c r="T9" s="1028"/>
      <c r="U9" s="826" t="s">
        <v>141</v>
      </c>
    </row>
    <row r="10" spans="1:37" s="257" customFormat="1" ht="66.75" customHeight="1" thickBot="1" x14ac:dyDescent="0.3">
      <c r="A10" s="1013"/>
      <c r="B10" s="1016"/>
      <c r="C10" s="1016"/>
      <c r="D10" s="1019"/>
      <c r="E10" s="1035"/>
      <c r="F10" s="1038"/>
      <c r="G10" s="1041"/>
      <c r="H10" s="1274"/>
      <c r="I10" s="1271"/>
      <c r="J10" s="1268"/>
      <c r="K10" s="1274"/>
      <c r="L10" s="1271"/>
      <c r="M10" s="1268"/>
      <c r="N10" s="1274"/>
      <c r="O10" s="1271"/>
      <c r="P10" s="1268"/>
      <c r="Q10" s="1027"/>
      <c r="R10" s="337" t="s">
        <v>90</v>
      </c>
      <c r="S10" s="337" t="s">
        <v>112</v>
      </c>
      <c r="T10" s="337" t="s">
        <v>155</v>
      </c>
      <c r="U10" s="338"/>
    </row>
    <row r="11" spans="1:37" s="3" customFormat="1" ht="13.5" customHeight="1" x14ac:dyDescent="0.2">
      <c r="A11" s="1030" t="s">
        <v>12</v>
      </c>
      <c r="B11" s="1031"/>
      <c r="C11" s="1031"/>
      <c r="D11" s="1031"/>
      <c r="E11" s="1031"/>
      <c r="F11" s="1031"/>
      <c r="G11" s="1031"/>
      <c r="H11" s="1031"/>
      <c r="I11" s="1031"/>
      <c r="J11" s="1031"/>
      <c r="K11" s="1031"/>
      <c r="L11" s="1031"/>
      <c r="M11" s="1031"/>
      <c r="N11" s="1031"/>
      <c r="O11" s="1031"/>
      <c r="P11" s="1031"/>
      <c r="Q11" s="1031"/>
      <c r="R11" s="1031"/>
      <c r="S11" s="1031"/>
      <c r="T11" s="1031"/>
      <c r="U11" s="1032"/>
    </row>
    <row r="12" spans="1:37" s="3" customFormat="1" x14ac:dyDescent="0.2">
      <c r="A12" s="1054" t="s">
        <v>13</v>
      </c>
      <c r="B12" s="1055"/>
      <c r="C12" s="1055"/>
      <c r="D12" s="1055"/>
      <c r="E12" s="1055"/>
      <c r="F12" s="1055"/>
      <c r="G12" s="1055"/>
      <c r="H12" s="1055"/>
      <c r="I12" s="1055"/>
      <c r="J12" s="1055"/>
      <c r="K12" s="1055"/>
      <c r="L12" s="1055"/>
      <c r="M12" s="1055"/>
      <c r="N12" s="1055"/>
      <c r="O12" s="1055"/>
      <c r="P12" s="1055"/>
      <c r="Q12" s="1055"/>
      <c r="R12" s="1055"/>
      <c r="S12" s="1055"/>
      <c r="T12" s="1055"/>
      <c r="U12" s="1056"/>
    </row>
    <row r="13" spans="1:37" s="257" customFormat="1" ht="15" customHeight="1" x14ac:dyDescent="0.25">
      <c r="A13" s="4" t="s">
        <v>14</v>
      </c>
      <c r="B13" s="1057" t="s">
        <v>15</v>
      </c>
      <c r="C13" s="1058"/>
      <c r="D13" s="1058"/>
      <c r="E13" s="1058"/>
      <c r="F13" s="1058"/>
      <c r="G13" s="1058"/>
      <c r="H13" s="1058"/>
      <c r="I13" s="1058"/>
      <c r="J13" s="1058"/>
      <c r="K13" s="1058"/>
      <c r="L13" s="1058"/>
      <c r="M13" s="1058"/>
      <c r="N13" s="1058"/>
      <c r="O13" s="1058"/>
      <c r="P13" s="1058"/>
      <c r="Q13" s="1058"/>
      <c r="R13" s="1058"/>
      <c r="S13" s="1058"/>
      <c r="T13" s="1058"/>
      <c r="U13" s="1059"/>
    </row>
    <row r="14" spans="1:37" s="257" customFormat="1" ht="14.25" customHeight="1" x14ac:dyDescent="0.25">
      <c r="A14" s="5" t="s">
        <v>14</v>
      </c>
      <c r="B14" s="6" t="s">
        <v>14</v>
      </c>
      <c r="C14" s="1060" t="s">
        <v>16</v>
      </c>
      <c r="D14" s="1061"/>
      <c r="E14" s="1061"/>
      <c r="F14" s="1061"/>
      <c r="G14" s="1062"/>
      <c r="H14" s="1062"/>
      <c r="I14" s="1062"/>
      <c r="J14" s="1062"/>
      <c r="K14" s="1062"/>
      <c r="L14" s="1062"/>
      <c r="M14" s="1062"/>
      <c r="N14" s="1062"/>
      <c r="O14" s="1062"/>
      <c r="P14" s="1062"/>
      <c r="Q14" s="1061"/>
      <c r="R14" s="1061"/>
      <c r="S14" s="1061"/>
      <c r="T14" s="1061"/>
      <c r="U14" s="1063"/>
    </row>
    <row r="15" spans="1:37" s="257" customFormat="1" ht="13.5" customHeight="1" x14ac:dyDescent="0.25">
      <c r="A15" s="7" t="s">
        <v>14</v>
      </c>
      <c r="B15" s="8" t="s">
        <v>14</v>
      </c>
      <c r="C15" s="9" t="s">
        <v>14</v>
      </c>
      <c r="D15" s="1074" t="s">
        <v>17</v>
      </c>
      <c r="E15" s="1064" t="s">
        <v>18</v>
      </c>
      <c r="F15" s="1066" t="s">
        <v>20</v>
      </c>
      <c r="G15" s="684" t="s">
        <v>23</v>
      </c>
      <c r="H15" s="71">
        <v>4850</v>
      </c>
      <c r="I15" s="106">
        <v>4850</v>
      </c>
      <c r="J15" s="69"/>
      <c r="K15" s="71">
        <v>4850</v>
      </c>
      <c r="L15" s="106">
        <v>4850</v>
      </c>
      <c r="M15" s="76"/>
      <c r="N15" s="71">
        <v>4850</v>
      </c>
      <c r="O15" s="106">
        <v>4850</v>
      </c>
      <c r="P15" s="76"/>
      <c r="Q15" s="268"/>
      <c r="R15" s="180"/>
      <c r="S15" s="339"/>
      <c r="T15" s="828"/>
      <c r="U15" s="359"/>
    </row>
    <row r="16" spans="1:37" s="257" customFormat="1" ht="14.25" customHeight="1" x14ac:dyDescent="0.25">
      <c r="A16" s="7"/>
      <c r="B16" s="8"/>
      <c r="C16" s="9"/>
      <c r="D16" s="1075"/>
      <c r="E16" s="1064"/>
      <c r="F16" s="1066"/>
      <c r="G16" s="75" t="s">
        <v>24</v>
      </c>
      <c r="H16" s="50">
        <v>419.6</v>
      </c>
      <c r="I16" s="107">
        <v>419.6</v>
      </c>
      <c r="J16" s="70"/>
      <c r="K16" s="50">
        <v>424.1</v>
      </c>
      <c r="L16" s="107">
        <v>424.1</v>
      </c>
      <c r="M16" s="155"/>
      <c r="N16" s="50">
        <v>428.6</v>
      </c>
      <c r="O16" s="107">
        <v>428.6</v>
      </c>
      <c r="P16" s="155"/>
      <c r="Q16" s="272"/>
      <c r="R16" s="98"/>
      <c r="S16" s="438"/>
      <c r="T16" s="827"/>
      <c r="U16" s="360"/>
    </row>
    <row r="17" spans="1:22" s="257" customFormat="1" ht="14.25" customHeight="1" x14ac:dyDescent="0.25">
      <c r="A17" s="7"/>
      <c r="B17" s="8"/>
      <c r="C17" s="9"/>
      <c r="D17" s="1068" t="s">
        <v>21</v>
      </c>
      <c r="E17" s="1064"/>
      <c r="F17" s="1066"/>
      <c r="G17" s="175"/>
      <c r="H17" s="125"/>
      <c r="I17" s="101"/>
      <c r="J17" s="903"/>
      <c r="K17" s="48"/>
      <c r="L17" s="109"/>
      <c r="M17" s="164"/>
      <c r="N17" s="48"/>
      <c r="O17" s="109"/>
      <c r="P17" s="164"/>
      <c r="Q17" s="1070" t="s">
        <v>94</v>
      </c>
      <c r="R17" s="157" t="s">
        <v>114</v>
      </c>
      <c r="S17" s="190" t="s">
        <v>114</v>
      </c>
      <c r="T17" s="190" t="s">
        <v>114</v>
      </c>
      <c r="U17" s="184"/>
    </row>
    <row r="18" spans="1:22" s="257" customFormat="1" ht="13.5" customHeight="1" x14ac:dyDescent="0.25">
      <c r="A18" s="7"/>
      <c r="B18" s="8"/>
      <c r="C18" s="9"/>
      <c r="D18" s="1069"/>
      <c r="E18" s="1064"/>
      <c r="F18" s="1066"/>
      <c r="G18" s="175"/>
      <c r="H18" s="48"/>
      <c r="I18" s="109"/>
      <c r="J18" s="42"/>
      <c r="K18" s="48"/>
      <c r="L18" s="109"/>
      <c r="M18" s="164"/>
      <c r="N18" s="48"/>
      <c r="O18" s="109"/>
      <c r="P18" s="164"/>
      <c r="Q18" s="1071"/>
      <c r="R18" s="157"/>
      <c r="S18" s="190"/>
      <c r="T18" s="190"/>
      <c r="U18" s="184"/>
    </row>
    <row r="19" spans="1:22" s="257" customFormat="1" ht="20.25" customHeight="1" x14ac:dyDescent="0.25">
      <c r="A19" s="7"/>
      <c r="B19" s="8"/>
      <c r="C19" s="9"/>
      <c r="D19" s="1072" t="s">
        <v>25</v>
      </c>
      <c r="E19" s="1064"/>
      <c r="F19" s="1066"/>
      <c r="G19" s="75"/>
      <c r="H19" s="50"/>
      <c r="I19" s="107"/>
      <c r="J19" s="70"/>
      <c r="K19" s="50"/>
      <c r="L19" s="107"/>
      <c r="M19" s="155"/>
      <c r="N19" s="50"/>
      <c r="O19" s="107"/>
      <c r="P19" s="155"/>
      <c r="Q19" s="1045" t="s">
        <v>94</v>
      </c>
      <c r="R19" s="104" t="s">
        <v>160</v>
      </c>
      <c r="S19" s="189" t="s">
        <v>161</v>
      </c>
      <c r="T19" s="189" t="s">
        <v>162</v>
      </c>
      <c r="U19" s="184"/>
    </row>
    <row r="20" spans="1:22" s="257" customFormat="1" ht="15" customHeight="1" thickBot="1" x14ac:dyDescent="0.3">
      <c r="A20" s="12"/>
      <c r="B20" s="13"/>
      <c r="C20" s="150"/>
      <c r="D20" s="1073"/>
      <c r="E20" s="1065"/>
      <c r="F20" s="1067"/>
      <c r="G20" s="289" t="s">
        <v>27</v>
      </c>
      <c r="H20" s="220">
        <f t="shared" ref="H20:P20" si="0">SUM(H15:H19)</f>
        <v>5269.6</v>
      </c>
      <c r="I20" s="250">
        <f t="shared" si="0"/>
        <v>5269.6</v>
      </c>
      <c r="J20" s="220">
        <f t="shared" si="0"/>
        <v>0</v>
      </c>
      <c r="K20" s="156">
        <f t="shared" si="0"/>
        <v>5274.1</v>
      </c>
      <c r="L20" s="250">
        <f t="shared" si="0"/>
        <v>5274.1</v>
      </c>
      <c r="M20" s="319">
        <f t="shared" si="0"/>
        <v>0</v>
      </c>
      <c r="N20" s="156">
        <f t="shared" si="0"/>
        <v>5278.6</v>
      </c>
      <c r="O20" s="250">
        <f t="shared" si="0"/>
        <v>5278.6</v>
      </c>
      <c r="P20" s="319">
        <f t="shared" si="0"/>
        <v>0</v>
      </c>
      <c r="Q20" s="1046"/>
      <c r="R20" s="89"/>
      <c r="S20" s="191"/>
      <c r="T20" s="191"/>
      <c r="U20" s="360"/>
    </row>
    <row r="21" spans="1:22" s="257" customFormat="1" ht="15" customHeight="1" x14ac:dyDescent="0.25">
      <c r="A21" s="7" t="s">
        <v>14</v>
      </c>
      <c r="B21" s="8" t="s">
        <v>14</v>
      </c>
      <c r="C21" s="151" t="s">
        <v>28</v>
      </c>
      <c r="D21" s="1076" t="s">
        <v>29</v>
      </c>
      <c r="E21" s="262" t="s">
        <v>18</v>
      </c>
      <c r="F21" s="685" t="s">
        <v>20</v>
      </c>
      <c r="G21" s="267" t="s">
        <v>30</v>
      </c>
      <c r="H21" s="161">
        <v>60</v>
      </c>
      <c r="I21" s="351">
        <v>60</v>
      </c>
      <c r="J21" s="126"/>
      <c r="K21" s="161">
        <v>78.5</v>
      </c>
      <c r="L21" s="351">
        <v>78.5</v>
      </c>
      <c r="M21" s="327"/>
      <c r="N21" s="161">
        <v>78.5</v>
      </c>
      <c r="O21" s="351">
        <v>78.5</v>
      </c>
      <c r="P21" s="126"/>
      <c r="Q21" s="900"/>
      <c r="R21" s="90"/>
      <c r="S21" s="245"/>
      <c r="T21" s="245"/>
      <c r="U21" s="134"/>
    </row>
    <row r="22" spans="1:22" s="257" customFormat="1" ht="22.5" customHeight="1" x14ac:dyDescent="0.25">
      <c r="A22" s="7"/>
      <c r="B22" s="8"/>
      <c r="C22" s="151"/>
      <c r="D22" s="1077"/>
      <c r="E22" s="263"/>
      <c r="F22" s="888"/>
      <c r="G22" s="175" t="s">
        <v>35</v>
      </c>
      <c r="H22" s="42">
        <f>18.5</f>
        <v>18.5</v>
      </c>
      <c r="I22" s="109">
        <f>18.5</f>
        <v>18.5</v>
      </c>
      <c r="J22" s="42"/>
      <c r="K22" s="48"/>
      <c r="L22" s="109"/>
      <c r="M22" s="164"/>
      <c r="N22" s="48"/>
      <c r="O22" s="109"/>
      <c r="P22" s="164"/>
      <c r="Q22" s="901"/>
      <c r="R22" s="88"/>
      <c r="S22" s="84"/>
      <c r="T22" s="84"/>
      <c r="U22" s="134"/>
    </row>
    <row r="23" spans="1:22" s="257" customFormat="1" ht="26.25" customHeight="1" x14ac:dyDescent="0.25">
      <c r="A23" s="1047"/>
      <c r="B23" s="1048"/>
      <c r="C23" s="1049"/>
      <c r="D23" s="1050" t="s">
        <v>31</v>
      </c>
      <c r="E23" s="1052"/>
      <c r="F23" s="1053"/>
      <c r="G23" s="241"/>
      <c r="H23" s="69"/>
      <c r="I23" s="106"/>
      <c r="J23" s="69"/>
      <c r="K23" s="71"/>
      <c r="L23" s="106"/>
      <c r="M23" s="76"/>
      <c r="N23" s="71"/>
      <c r="O23" s="106"/>
      <c r="P23" s="76"/>
      <c r="Q23" s="16" t="s">
        <v>163</v>
      </c>
      <c r="R23" s="194" t="s">
        <v>164</v>
      </c>
      <c r="S23" s="181" t="s">
        <v>164</v>
      </c>
      <c r="T23" s="181" t="s">
        <v>164</v>
      </c>
      <c r="U23" s="361"/>
      <c r="V23" s="456"/>
    </row>
    <row r="24" spans="1:22" s="257" customFormat="1" ht="16.5" customHeight="1" x14ac:dyDescent="0.25">
      <c r="A24" s="1047"/>
      <c r="B24" s="1048"/>
      <c r="C24" s="1049"/>
      <c r="D24" s="1051"/>
      <c r="E24" s="1052"/>
      <c r="F24" s="1053"/>
      <c r="G24" s="175"/>
      <c r="H24" s="42"/>
      <c r="I24" s="109"/>
      <c r="J24" s="42"/>
      <c r="K24" s="48"/>
      <c r="L24" s="109"/>
      <c r="M24" s="164"/>
      <c r="N24" s="48"/>
      <c r="O24" s="109"/>
      <c r="P24" s="164"/>
      <c r="Q24" s="17" t="s">
        <v>33</v>
      </c>
      <c r="R24" s="87">
        <v>166</v>
      </c>
      <c r="S24" s="83">
        <v>166</v>
      </c>
      <c r="T24" s="83">
        <v>166</v>
      </c>
      <c r="U24" s="134"/>
      <c r="V24" s="456"/>
    </row>
    <row r="25" spans="1:22" s="257" customFormat="1" ht="12.75" customHeight="1" x14ac:dyDescent="0.25">
      <c r="A25" s="1047"/>
      <c r="B25" s="1048"/>
      <c r="C25" s="1049"/>
      <c r="D25" s="820" t="s">
        <v>34</v>
      </c>
      <c r="E25" s="1052"/>
      <c r="F25" s="1053"/>
      <c r="G25" s="175"/>
      <c r="H25" s="42"/>
      <c r="I25" s="109"/>
      <c r="J25" s="42"/>
      <c r="K25" s="48"/>
      <c r="L25" s="109"/>
      <c r="M25" s="164"/>
      <c r="N25" s="48"/>
      <c r="O25" s="109"/>
      <c r="P25" s="164"/>
      <c r="Q25" s="882" t="s">
        <v>165</v>
      </c>
      <c r="R25" s="104" t="s">
        <v>166</v>
      </c>
      <c r="S25" s="265" t="s">
        <v>166</v>
      </c>
      <c r="T25" s="265" t="s">
        <v>166</v>
      </c>
      <c r="U25" s="361"/>
    </row>
    <row r="26" spans="1:22" s="257" customFormat="1" ht="7.5" customHeight="1" x14ac:dyDescent="0.25">
      <c r="A26" s="884"/>
      <c r="B26" s="885"/>
      <c r="C26" s="886"/>
      <c r="D26" s="746"/>
      <c r="E26" s="887"/>
      <c r="F26" s="888"/>
      <c r="G26" s="75"/>
      <c r="H26" s="42"/>
      <c r="I26" s="109"/>
      <c r="J26" s="42"/>
      <c r="K26" s="48"/>
      <c r="L26" s="109"/>
      <c r="M26" s="164"/>
      <c r="N26" s="48"/>
      <c r="O26" s="109"/>
      <c r="P26" s="164"/>
      <c r="Q26" s="890"/>
      <c r="R26" s="105"/>
      <c r="S26" s="224"/>
      <c r="T26" s="224"/>
      <c r="U26" s="361"/>
    </row>
    <row r="27" spans="1:22" s="257" customFormat="1" ht="18" customHeight="1" thickBot="1" x14ac:dyDescent="0.3">
      <c r="A27" s="902"/>
      <c r="B27" s="892"/>
      <c r="C27" s="893"/>
      <c r="D27" s="739"/>
      <c r="E27" s="519"/>
      <c r="F27" s="520"/>
      <c r="G27" s="289" t="s">
        <v>27</v>
      </c>
      <c r="H27" s="72">
        <f t="shared" ref="H27:P27" si="1">SUM(H21:H26)</f>
        <v>78.5</v>
      </c>
      <c r="I27" s="132">
        <f t="shared" si="1"/>
        <v>78.5</v>
      </c>
      <c r="J27" s="45">
        <f t="shared" si="1"/>
        <v>0</v>
      </c>
      <c r="K27" s="72">
        <f t="shared" si="1"/>
        <v>78.5</v>
      </c>
      <c r="L27" s="132">
        <f t="shared" si="1"/>
        <v>78.5</v>
      </c>
      <c r="M27" s="128">
        <f t="shared" si="1"/>
        <v>0</v>
      </c>
      <c r="N27" s="72">
        <f t="shared" si="1"/>
        <v>78.5</v>
      </c>
      <c r="O27" s="132">
        <f t="shared" si="1"/>
        <v>78.5</v>
      </c>
      <c r="P27" s="128">
        <f t="shared" si="1"/>
        <v>0</v>
      </c>
      <c r="Q27" s="883"/>
      <c r="R27" s="89"/>
      <c r="S27" s="192"/>
      <c r="T27" s="192"/>
      <c r="U27" s="134"/>
    </row>
    <row r="28" spans="1:22" s="257" customFormat="1" ht="29.25" customHeight="1" x14ac:dyDescent="0.25">
      <c r="A28" s="1078" t="s">
        <v>14</v>
      </c>
      <c r="B28" s="1079" t="s">
        <v>14</v>
      </c>
      <c r="C28" s="1090" t="s">
        <v>36</v>
      </c>
      <c r="D28" s="1092" t="s">
        <v>37</v>
      </c>
      <c r="E28" s="1093" t="s">
        <v>18</v>
      </c>
      <c r="F28" s="1094" t="s">
        <v>20</v>
      </c>
      <c r="G28" s="137" t="s">
        <v>24</v>
      </c>
      <c r="H28" s="161">
        <f>19.1+21.4</f>
        <v>40.5</v>
      </c>
      <c r="I28" s="351">
        <f>19.1+21.4</f>
        <v>40.5</v>
      </c>
      <c r="J28" s="327"/>
      <c r="K28" s="161"/>
      <c r="L28" s="351"/>
      <c r="M28" s="327"/>
      <c r="N28" s="161"/>
      <c r="O28" s="351"/>
      <c r="P28" s="327"/>
      <c r="Q28" s="894" t="s">
        <v>169</v>
      </c>
      <c r="R28" s="271">
        <v>4</v>
      </c>
      <c r="S28" s="439">
        <v>5</v>
      </c>
      <c r="T28" s="439">
        <v>5</v>
      </c>
      <c r="U28" s="334"/>
    </row>
    <row r="29" spans="1:22" s="257" customFormat="1" ht="25.5" customHeight="1" x14ac:dyDescent="0.25">
      <c r="A29" s="1047"/>
      <c r="B29" s="1048"/>
      <c r="C29" s="1049"/>
      <c r="D29" s="1072"/>
      <c r="E29" s="1064"/>
      <c r="F29" s="1066"/>
      <c r="G29" s="138" t="s">
        <v>23</v>
      </c>
      <c r="H29" s="48"/>
      <c r="I29" s="109"/>
      <c r="J29" s="164"/>
      <c r="K29" s="48">
        <v>25</v>
      </c>
      <c r="L29" s="109">
        <v>25</v>
      </c>
      <c r="M29" s="164"/>
      <c r="N29" s="48">
        <v>25</v>
      </c>
      <c r="O29" s="109">
        <v>25</v>
      </c>
      <c r="P29" s="164"/>
      <c r="Q29" s="821" t="s">
        <v>149</v>
      </c>
      <c r="R29" s="255">
        <v>112</v>
      </c>
      <c r="S29" s="340"/>
      <c r="T29" s="340"/>
      <c r="U29" s="334"/>
    </row>
    <row r="30" spans="1:22" s="257" customFormat="1" ht="15.75" customHeight="1" thickBot="1" x14ac:dyDescent="0.3">
      <c r="A30" s="1047"/>
      <c r="B30" s="1089"/>
      <c r="C30" s="1091"/>
      <c r="D30" s="1073"/>
      <c r="E30" s="1065"/>
      <c r="F30" s="1067"/>
      <c r="G30" s="288" t="s">
        <v>27</v>
      </c>
      <c r="H30" s="72">
        <f t="shared" ref="H30:P30" si="2">SUM(H28:H29)</f>
        <v>40.5</v>
      </c>
      <c r="I30" s="132">
        <f t="shared" si="2"/>
        <v>40.5</v>
      </c>
      <c r="J30" s="45">
        <f t="shared" si="2"/>
        <v>0</v>
      </c>
      <c r="K30" s="72">
        <f t="shared" si="2"/>
        <v>25</v>
      </c>
      <c r="L30" s="132">
        <f t="shared" si="2"/>
        <v>25</v>
      </c>
      <c r="M30" s="128">
        <f t="shared" si="2"/>
        <v>0</v>
      </c>
      <c r="N30" s="72">
        <f t="shared" si="2"/>
        <v>25</v>
      </c>
      <c r="O30" s="132">
        <f t="shared" si="2"/>
        <v>25</v>
      </c>
      <c r="P30" s="45">
        <f t="shared" si="2"/>
        <v>0</v>
      </c>
      <c r="Q30" s="889"/>
      <c r="R30" s="255"/>
      <c r="S30" s="905"/>
      <c r="T30" s="905"/>
      <c r="U30" s="374"/>
    </row>
    <row r="31" spans="1:22" s="257" customFormat="1" ht="38.25" customHeight="1" x14ac:dyDescent="0.25">
      <c r="A31" s="1078" t="s">
        <v>14</v>
      </c>
      <c r="B31" s="1079" t="s">
        <v>14</v>
      </c>
      <c r="C31" s="1080" t="s">
        <v>38</v>
      </c>
      <c r="D31" s="1082" t="s">
        <v>150</v>
      </c>
      <c r="E31" s="573"/>
      <c r="F31" s="1084">
        <v>6</v>
      </c>
      <c r="G31" s="267" t="s">
        <v>35</v>
      </c>
      <c r="H31" s="161">
        <v>8</v>
      </c>
      <c r="I31" s="968">
        <v>12</v>
      </c>
      <c r="J31" s="969">
        <f>I31-H31</f>
        <v>4</v>
      </c>
      <c r="K31" s="829"/>
      <c r="L31" s="832"/>
      <c r="M31" s="290"/>
      <c r="N31" s="830"/>
      <c r="O31" s="832"/>
      <c r="P31" s="290"/>
      <c r="Q31" s="894" t="s">
        <v>151</v>
      </c>
      <c r="R31" s="971" t="s">
        <v>210</v>
      </c>
      <c r="S31" s="341"/>
      <c r="T31" s="245"/>
      <c r="U31" s="1281" t="s">
        <v>220</v>
      </c>
    </row>
    <row r="32" spans="1:22" s="257" customFormat="1" ht="55.5" customHeight="1" x14ac:dyDescent="0.25">
      <c r="A32" s="1047"/>
      <c r="B32" s="1048"/>
      <c r="C32" s="1081"/>
      <c r="D32" s="1083"/>
      <c r="E32" s="1087"/>
      <c r="F32" s="1085"/>
      <c r="G32" s="175" t="s">
        <v>63</v>
      </c>
      <c r="H32" s="79">
        <v>5.4</v>
      </c>
      <c r="I32" s="112">
        <v>5.4</v>
      </c>
      <c r="J32" s="873"/>
      <c r="K32" s="79"/>
      <c r="L32" s="112"/>
      <c r="M32" s="111"/>
      <c r="N32" s="831"/>
      <c r="O32" s="112"/>
      <c r="P32" s="111"/>
      <c r="Q32" s="818"/>
      <c r="R32" s="972">
        <v>48</v>
      </c>
      <c r="S32" s="133"/>
      <c r="T32" s="84"/>
      <c r="U32" s="1279"/>
    </row>
    <row r="33" spans="1:21" s="257" customFormat="1" ht="14.25" customHeight="1" thickBot="1" x14ac:dyDescent="0.3">
      <c r="A33" s="1047"/>
      <c r="B33" s="1048"/>
      <c r="C33" s="1081"/>
      <c r="D33" s="815"/>
      <c r="E33" s="1088"/>
      <c r="F33" s="1086"/>
      <c r="G33" s="291" t="s">
        <v>27</v>
      </c>
      <c r="H33" s="72">
        <f t="shared" ref="H33:I33" si="3">SUM(H31:H32)</f>
        <v>13.4</v>
      </c>
      <c r="I33" s="927">
        <f t="shared" si="3"/>
        <v>17.399999999999999</v>
      </c>
      <c r="J33" s="928">
        <f t="shared" ref="J33:P33" si="4">SUM(J31:J32)</f>
        <v>4</v>
      </c>
      <c r="K33" s="72">
        <f t="shared" ref="K33:L33" si="5">SUM(K31:K32)</f>
        <v>0</v>
      </c>
      <c r="L33" s="132">
        <f t="shared" si="5"/>
        <v>0</v>
      </c>
      <c r="M33" s="128">
        <f t="shared" si="4"/>
        <v>0</v>
      </c>
      <c r="N33" s="45">
        <f t="shared" ref="N33:O33" si="6">SUM(N31:N32)</f>
        <v>0</v>
      </c>
      <c r="O33" s="132">
        <f t="shared" si="6"/>
        <v>0</v>
      </c>
      <c r="P33" s="128">
        <f t="shared" si="4"/>
        <v>0</v>
      </c>
      <c r="Q33" s="159"/>
      <c r="R33" s="89"/>
      <c r="S33" s="342"/>
      <c r="T33" s="192"/>
      <c r="U33" s="1282"/>
    </row>
    <row r="34" spans="1:21" s="257" customFormat="1" ht="15.75" customHeight="1" x14ac:dyDescent="0.25">
      <c r="A34" s="1078" t="s">
        <v>14</v>
      </c>
      <c r="B34" s="1079" t="s">
        <v>14</v>
      </c>
      <c r="C34" s="1080" t="s">
        <v>19</v>
      </c>
      <c r="D34" s="1082" t="s">
        <v>167</v>
      </c>
      <c r="E34" s="1096" t="s">
        <v>40</v>
      </c>
      <c r="F34" s="1084">
        <v>6</v>
      </c>
      <c r="G34" s="267" t="s">
        <v>24</v>
      </c>
      <c r="H34" s="161">
        <v>54.8</v>
      </c>
      <c r="I34" s="351">
        <v>54.8</v>
      </c>
      <c r="J34" s="327"/>
      <c r="K34" s="829"/>
      <c r="L34" s="832"/>
      <c r="M34" s="290"/>
      <c r="N34" s="830"/>
      <c r="O34" s="832"/>
      <c r="P34" s="290"/>
      <c r="Q34" s="1070" t="s">
        <v>168</v>
      </c>
      <c r="R34" s="906">
        <v>2300</v>
      </c>
      <c r="S34" s="907"/>
      <c r="T34" s="277"/>
      <c r="U34" s="361"/>
    </row>
    <row r="35" spans="1:21" s="257" customFormat="1" ht="18" customHeight="1" x14ac:dyDescent="0.25">
      <c r="A35" s="1047"/>
      <c r="B35" s="1048"/>
      <c r="C35" s="1081"/>
      <c r="D35" s="1068"/>
      <c r="E35" s="1097"/>
      <c r="F35" s="1085"/>
      <c r="G35" s="175"/>
      <c r="H35" s="48"/>
      <c r="I35" s="109"/>
      <c r="J35" s="164"/>
      <c r="K35" s="79"/>
      <c r="L35" s="112"/>
      <c r="M35" s="111"/>
      <c r="N35" s="831"/>
      <c r="O35" s="112"/>
      <c r="P35" s="111"/>
      <c r="Q35" s="1070"/>
      <c r="R35" s="321"/>
      <c r="S35" s="133"/>
      <c r="T35" s="84"/>
      <c r="U35" s="134"/>
    </row>
    <row r="36" spans="1:21" s="257" customFormat="1" ht="17.25" customHeight="1" thickBot="1" x14ac:dyDescent="0.3">
      <c r="A36" s="1047"/>
      <c r="B36" s="1089"/>
      <c r="C36" s="1098"/>
      <c r="D36" s="815"/>
      <c r="E36" s="297"/>
      <c r="F36" s="1086"/>
      <c r="G36" s="288" t="s">
        <v>27</v>
      </c>
      <c r="H36" s="72">
        <f t="shared" ref="H36:I36" si="7">SUM(H34:H35)</f>
        <v>54.8</v>
      </c>
      <c r="I36" s="132">
        <f t="shared" si="7"/>
        <v>54.8</v>
      </c>
      <c r="J36" s="45">
        <f t="shared" ref="J36:M36" si="8">SUM(J34:J35)</f>
        <v>0</v>
      </c>
      <c r="K36" s="72">
        <f t="shared" ref="K36:L36" si="9">SUM(K34:K35)</f>
        <v>0</v>
      </c>
      <c r="L36" s="132">
        <f t="shared" si="9"/>
        <v>0</v>
      </c>
      <c r="M36" s="128">
        <f t="shared" si="8"/>
        <v>0</v>
      </c>
      <c r="N36" s="72">
        <f t="shared" ref="N36" si="10">SUM(N34:N34)</f>
        <v>0</v>
      </c>
      <c r="O36" s="132">
        <f t="shared" ref="O36:P36" si="11">SUM(O34:O34)</f>
        <v>0</v>
      </c>
      <c r="P36" s="128">
        <f t="shared" si="11"/>
        <v>0</v>
      </c>
      <c r="Q36" s="159"/>
      <c r="R36" s="89"/>
      <c r="S36" s="342"/>
      <c r="T36" s="192"/>
      <c r="U36" s="134"/>
    </row>
    <row r="37" spans="1:21" s="257" customFormat="1" ht="25.5" customHeight="1" x14ac:dyDescent="0.25">
      <c r="A37" s="1078" t="s">
        <v>14</v>
      </c>
      <c r="B37" s="1079" t="s">
        <v>14</v>
      </c>
      <c r="C37" s="1080" t="s">
        <v>132</v>
      </c>
      <c r="D37" s="1001" t="s">
        <v>145</v>
      </c>
      <c r="E37" s="1096" t="s">
        <v>40</v>
      </c>
      <c r="F37" s="1084">
        <v>5</v>
      </c>
      <c r="G37" s="175" t="s">
        <v>24</v>
      </c>
      <c r="H37" s="161">
        <v>720.6</v>
      </c>
      <c r="I37" s="351">
        <v>720.6</v>
      </c>
      <c r="J37" s="327"/>
      <c r="K37" s="829"/>
      <c r="L37" s="832"/>
      <c r="M37" s="290"/>
      <c r="N37" s="830"/>
      <c r="O37" s="832"/>
      <c r="P37" s="290"/>
      <c r="Q37" s="378" t="s">
        <v>143</v>
      </c>
      <c r="R37" s="193">
        <v>268</v>
      </c>
      <c r="S37" s="341"/>
      <c r="T37" s="245"/>
      <c r="U37" s="134"/>
    </row>
    <row r="38" spans="1:21" s="257" customFormat="1" ht="15" customHeight="1" x14ac:dyDescent="0.25">
      <c r="A38" s="1047"/>
      <c r="B38" s="1048"/>
      <c r="C38" s="1081"/>
      <c r="D38" s="1002"/>
      <c r="E38" s="1097"/>
      <c r="F38" s="1085"/>
      <c r="G38" s="175"/>
      <c r="H38" s="48"/>
      <c r="I38" s="109"/>
      <c r="J38" s="164"/>
      <c r="K38" s="79"/>
      <c r="L38" s="112"/>
      <c r="M38" s="111"/>
      <c r="N38" s="831"/>
      <c r="O38" s="112"/>
      <c r="P38" s="111"/>
      <c r="Q38" s="899" t="s">
        <v>144</v>
      </c>
      <c r="R38" s="321">
        <v>12</v>
      </c>
      <c r="S38" s="133"/>
      <c r="T38" s="84"/>
      <c r="U38" s="134"/>
    </row>
    <row r="39" spans="1:21" s="257" customFormat="1" ht="13.5" customHeight="1" thickBot="1" x14ac:dyDescent="0.3">
      <c r="A39" s="1047"/>
      <c r="B39" s="1048"/>
      <c r="C39" s="1081"/>
      <c r="D39" s="1003"/>
      <c r="E39" s="297"/>
      <c r="F39" s="1086"/>
      <c r="G39" s="291" t="s">
        <v>27</v>
      </c>
      <c r="H39" s="72">
        <f t="shared" ref="H39:I39" si="12">SUM(H37:H38)</f>
        <v>720.6</v>
      </c>
      <c r="I39" s="132">
        <f t="shared" si="12"/>
        <v>720.6</v>
      </c>
      <c r="J39" s="128">
        <f t="shared" ref="J39:P39" si="13">SUM(J37:J38)</f>
        <v>0</v>
      </c>
      <c r="K39" s="72">
        <f t="shared" ref="K39:L39" si="14">SUM(K37:K38)</f>
        <v>0</v>
      </c>
      <c r="L39" s="132">
        <f t="shared" si="14"/>
        <v>0</v>
      </c>
      <c r="M39" s="128">
        <f t="shared" si="13"/>
        <v>0</v>
      </c>
      <c r="N39" s="45">
        <f t="shared" ref="N39:O39" si="15">SUM(N37:N38)</f>
        <v>0</v>
      </c>
      <c r="O39" s="132">
        <f t="shared" si="15"/>
        <v>0</v>
      </c>
      <c r="P39" s="128">
        <f t="shared" si="13"/>
        <v>0</v>
      </c>
      <c r="Q39" s="159"/>
      <c r="R39" s="89"/>
      <c r="S39" s="342"/>
      <c r="T39" s="192"/>
      <c r="U39" s="134"/>
    </row>
    <row r="40" spans="1:21" s="257" customFormat="1" ht="13.5" thickBot="1" x14ac:dyDescent="0.3">
      <c r="A40" s="21" t="s">
        <v>14</v>
      </c>
      <c r="B40" s="22" t="s">
        <v>14</v>
      </c>
      <c r="C40" s="1107" t="s">
        <v>44</v>
      </c>
      <c r="D40" s="1107"/>
      <c r="E40" s="1107"/>
      <c r="F40" s="1107"/>
      <c r="G40" s="1107"/>
      <c r="H40" s="196">
        <f t="shared" ref="H40:P40" si="16">H30+H27+H33+H36+H39+H20</f>
        <v>6177.4000000000005</v>
      </c>
      <c r="I40" s="352">
        <f t="shared" si="16"/>
        <v>6181.4000000000005</v>
      </c>
      <c r="J40" s="985">
        <f t="shared" si="16"/>
        <v>4</v>
      </c>
      <c r="K40" s="196">
        <f t="shared" si="16"/>
        <v>5377.6</v>
      </c>
      <c r="L40" s="352">
        <f t="shared" si="16"/>
        <v>5377.6</v>
      </c>
      <c r="M40" s="382">
        <f t="shared" si="16"/>
        <v>0</v>
      </c>
      <c r="N40" s="196">
        <f t="shared" si="16"/>
        <v>5382.1</v>
      </c>
      <c r="O40" s="352">
        <f t="shared" si="16"/>
        <v>5382.1</v>
      </c>
      <c r="P40" s="382">
        <f t="shared" si="16"/>
        <v>0</v>
      </c>
      <c r="Q40" s="895"/>
      <c r="R40" s="896"/>
      <c r="S40" s="896"/>
      <c r="T40" s="896"/>
      <c r="U40" s="897"/>
    </row>
    <row r="41" spans="1:21" s="257" customFormat="1" ht="18" customHeight="1" thickBot="1" x14ac:dyDescent="0.3">
      <c r="A41" s="21" t="s">
        <v>14</v>
      </c>
      <c r="B41" s="22" t="s">
        <v>28</v>
      </c>
      <c r="C41" s="1112" t="s">
        <v>45</v>
      </c>
      <c r="D41" s="1113"/>
      <c r="E41" s="1113"/>
      <c r="F41" s="1113"/>
      <c r="G41" s="1113"/>
      <c r="H41" s="1113"/>
      <c r="I41" s="1113"/>
      <c r="J41" s="1113"/>
      <c r="K41" s="1113"/>
      <c r="L41" s="1113"/>
      <c r="M41" s="1113"/>
      <c r="N41" s="1113"/>
      <c r="O41" s="1113"/>
      <c r="P41" s="1113"/>
      <c r="Q41" s="1113"/>
      <c r="R41" s="1113"/>
      <c r="S41" s="1113"/>
      <c r="T41" s="1113"/>
      <c r="U41" s="1114"/>
    </row>
    <row r="42" spans="1:21" s="257" customFormat="1" ht="13.5" customHeight="1" x14ac:dyDescent="0.25">
      <c r="A42" s="1115" t="s">
        <v>14</v>
      </c>
      <c r="B42" s="1079" t="s">
        <v>28</v>
      </c>
      <c r="C42" s="1090" t="s">
        <v>14</v>
      </c>
      <c r="D42" s="1118" t="s">
        <v>87</v>
      </c>
      <c r="E42" s="490"/>
      <c r="F42" s="1084" t="s">
        <v>20</v>
      </c>
      <c r="G42" s="267" t="s">
        <v>106</v>
      </c>
      <c r="H42" s="126">
        <v>1.8</v>
      </c>
      <c r="I42" s="351">
        <v>1.8</v>
      </c>
      <c r="J42" s="126"/>
      <c r="K42" s="161"/>
      <c r="L42" s="351"/>
      <c r="M42" s="327"/>
      <c r="N42" s="161"/>
      <c r="O42" s="351"/>
      <c r="P42" s="327"/>
      <c r="Q42" s="269"/>
      <c r="R42" s="271"/>
      <c r="S42" s="326"/>
      <c r="T42" s="270"/>
      <c r="U42" s="362"/>
    </row>
    <row r="43" spans="1:21" s="257" customFormat="1" ht="12.75" customHeight="1" x14ac:dyDescent="0.25">
      <c r="A43" s="1116"/>
      <c r="B43" s="1048"/>
      <c r="C43" s="1049"/>
      <c r="D43" s="1119"/>
      <c r="E43" s="491"/>
      <c r="F43" s="1085"/>
      <c r="G43" s="175" t="s">
        <v>30</v>
      </c>
      <c r="H43" s="42">
        <v>87.7</v>
      </c>
      <c r="I43" s="109">
        <v>87.7</v>
      </c>
      <c r="J43" s="42"/>
      <c r="K43" s="48">
        <v>60.8</v>
      </c>
      <c r="L43" s="109">
        <v>60.8</v>
      </c>
      <c r="M43" s="164"/>
      <c r="N43" s="48">
        <v>61.8</v>
      </c>
      <c r="O43" s="109">
        <v>61.8</v>
      </c>
      <c r="P43" s="164"/>
      <c r="Q43" s="268"/>
      <c r="R43" s="255"/>
      <c r="S43" s="195"/>
      <c r="T43" s="309"/>
      <c r="U43" s="486"/>
    </row>
    <row r="44" spans="1:21" s="257" customFormat="1" ht="9.75" customHeight="1" x14ac:dyDescent="0.25">
      <c r="A44" s="1116"/>
      <c r="B44" s="1048"/>
      <c r="C44" s="1049"/>
      <c r="D44" s="1120"/>
      <c r="E44" s="292"/>
      <c r="F44" s="1085"/>
      <c r="G44" s="75"/>
      <c r="H44" s="70"/>
      <c r="I44" s="107"/>
      <c r="J44" s="70"/>
      <c r="K44" s="50"/>
      <c r="L44" s="107"/>
      <c r="M44" s="155"/>
      <c r="N44" s="50"/>
      <c r="O44" s="107"/>
      <c r="P44" s="155"/>
      <c r="Q44" s="272"/>
      <c r="R44" s="249"/>
      <c r="S44" s="248"/>
      <c r="T44" s="273"/>
      <c r="U44" s="486"/>
    </row>
    <row r="45" spans="1:21" s="257" customFormat="1" ht="13.5" customHeight="1" x14ac:dyDescent="0.25">
      <c r="A45" s="1116"/>
      <c r="B45" s="1048"/>
      <c r="C45" s="1049"/>
      <c r="D45" s="1002" t="s">
        <v>47</v>
      </c>
      <c r="E45" s="1100" t="s">
        <v>46</v>
      </c>
      <c r="F45" s="1085"/>
      <c r="G45" s="175"/>
      <c r="H45" s="42"/>
      <c r="I45" s="109"/>
      <c r="J45" s="42"/>
      <c r="K45" s="48"/>
      <c r="L45" s="109"/>
      <c r="M45" s="164"/>
      <c r="N45" s="48"/>
      <c r="O45" s="109"/>
      <c r="P45" s="164"/>
      <c r="Q45" s="268" t="s">
        <v>48</v>
      </c>
      <c r="R45" s="255">
        <v>4</v>
      </c>
      <c r="S45" s="309">
        <v>2</v>
      </c>
      <c r="T45" s="309">
        <v>3</v>
      </c>
      <c r="U45" s="486"/>
    </row>
    <row r="46" spans="1:21" s="257" customFormat="1" ht="18.75" customHeight="1" x14ac:dyDescent="0.25">
      <c r="A46" s="1116"/>
      <c r="B46" s="1048"/>
      <c r="C46" s="1049"/>
      <c r="D46" s="1117"/>
      <c r="E46" s="1101"/>
      <c r="F46" s="1085"/>
      <c r="G46" s="175"/>
      <c r="H46" s="48"/>
      <c r="I46" s="109"/>
      <c r="J46" s="164"/>
      <c r="K46" s="48"/>
      <c r="L46" s="109"/>
      <c r="M46" s="164"/>
      <c r="N46" s="48"/>
      <c r="O46" s="109"/>
      <c r="P46" s="164"/>
      <c r="Q46" s="166"/>
      <c r="R46" s="167"/>
      <c r="S46" s="273"/>
      <c r="T46" s="273"/>
      <c r="U46" s="486"/>
    </row>
    <row r="47" spans="1:21" s="257" customFormat="1" ht="16.5" customHeight="1" x14ac:dyDescent="0.25">
      <c r="A47" s="781"/>
      <c r="B47" s="804"/>
      <c r="C47" s="806"/>
      <c r="D47" s="57" t="s">
        <v>49</v>
      </c>
      <c r="E47" s="1099" t="s">
        <v>86</v>
      </c>
      <c r="F47" s="808"/>
      <c r="G47" s="175"/>
      <c r="H47" s="42"/>
      <c r="I47" s="109"/>
      <c r="J47" s="42"/>
      <c r="K47" s="48"/>
      <c r="L47" s="109"/>
      <c r="M47" s="164"/>
      <c r="N47" s="48"/>
      <c r="O47" s="109"/>
      <c r="P47" s="164"/>
      <c r="Q47" s="1045" t="s">
        <v>97</v>
      </c>
      <c r="R47" s="136">
        <v>1</v>
      </c>
      <c r="S47" s="433">
        <v>1</v>
      </c>
      <c r="T47" s="135">
        <v>1</v>
      </c>
      <c r="U47" s="377"/>
    </row>
    <row r="48" spans="1:21" s="257" customFormat="1" ht="9.75" customHeight="1" x14ac:dyDescent="0.25">
      <c r="A48" s="781"/>
      <c r="B48" s="804"/>
      <c r="C48" s="806"/>
      <c r="D48" s="77"/>
      <c r="E48" s="1100"/>
      <c r="F48" s="808"/>
      <c r="G48" s="175"/>
      <c r="H48" s="42"/>
      <c r="I48" s="109"/>
      <c r="J48" s="42"/>
      <c r="K48" s="48"/>
      <c r="L48" s="109"/>
      <c r="M48" s="164"/>
      <c r="N48" s="48"/>
      <c r="O48" s="109"/>
      <c r="P48" s="164"/>
      <c r="Q48" s="1102"/>
      <c r="R48" s="100"/>
      <c r="S48" s="310"/>
      <c r="T48" s="380"/>
      <c r="U48" s="377"/>
    </row>
    <row r="49" spans="1:22" s="257" customFormat="1" ht="5.25" customHeight="1" x14ac:dyDescent="0.25">
      <c r="A49" s="781"/>
      <c r="B49" s="804"/>
      <c r="C49" s="784"/>
      <c r="D49" s="799"/>
      <c r="E49" s="1101"/>
      <c r="F49" s="808"/>
      <c r="G49" s="175"/>
      <c r="H49" s="42"/>
      <c r="I49" s="109"/>
      <c r="J49" s="42"/>
      <c r="K49" s="48"/>
      <c r="L49" s="109"/>
      <c r="M49" s="164"/>
      <c r="N49" s="48"/>
      <c r="O49" s="109"/>
      <c r="P49" s="164"/>
      <c r="Q49" s="451"/>
      <c r="R49" s="249"/>
      <c r="S49" s="248"/>
      <c r="T49" s="273"/>
      <c r="U49" s="486"/>
    </row>
    <row r="50" spans="1:22" s="257" customFormat="1" ht="25.5" customHeight="1" x14ac:dyDescent="0.25">
      <c r="A50" s="781"/>
      <c r="B50" s="804"/>
      <c r="C50" s="784"/>
      <c r="D50" s="205" t="s">
        <v>115</v>
      </c>
      <c r="E50" s="294"/>
      <c r="F50" s="134"/>
      <c r="G50" s="293"/>
      <c r="H50" s="42"/>
      <c r="I50" s="109"/>
      <c r="J50" s="42"/>
      <c r="K50" s="48"/>
      <c r="L50" s="109"/>
      <c r="M50" s="164"/>
      <c r="N50" s="48"/>
      <c r="O50" s="109"/>
      <c r="P50" s="164"/>
      <c r="Q50" s="219" t="s">
        <v>116</v>
      </c>
      <c r="R50" s="208">
        <v>187</v>
      </c>
      <c r="S50" s="434">
        <v>187</v>
      </c>
      <c r="T50" s="207">
        <v>187</v>
      </c>
      <c r="U50" s="486"/>
    </row>
    <row r="51" spans="1:22" s="257" customFormat="1" ht="21.75" customHeight="1" x14ac:dyDescent="0.25">
      <c r="A51" s="781"/>
      <c r="B51" s="804"/>
      <c r="C51" s="784"/>
      <c r="D51" s="1103" t="s">
        <v>104</v>
      </c>
      <c r="E51" s="295"/>
      <c r="F51" s="134"/>
      <c r="G51" s="175"/>
      <c r="H51" s="42"/>
      <c r="I51" s="109"/>
      <c r="J51" s="42"/>
      <c r="K51" s="48"/>
      <c r="L51" s="109"/>
      <c r="M51" s="164"/>
      <c r="N51" s="48"/>
      <c r="O51" s="109"/>
      <c r="P51" s="164"/>
      <c r="Q51" s="1105" t="s">
        <v>197</v>
      </c>
      <c r="R51" s="822">
        <v>12</v>
      </c>
      <c r="S51" s="198"/>
      <c r="T51" s="165"/>
      <c r="U51" s="486"/>
    </row>
    <row r="52" spans="1:22" s="257" customFormat="1" ht="27.75" customHeight="1" x14ac:dyDescent="0.25">
      <c r="A52" s="781"/>
      <c r="B52" s="804"/>
      <c r="C52" s="784"/>
      <c r="D52" s="1104"/>
      <c r="E52" s="491"/>
      <c r="F52" s="134"/>
      <c r="G52" s="75"/>
      <c r="H52" s="70"/>
      <c r="I52" s="107"/>
      <c r="J52" s="70"/>
      <c r="K52" s="50"/>
      <c r="L52" s="107"/>
      <c r="M52" s="155"/>
      <c r="N52" s="50"/>
      <c r="O52" s="107"/>
      <c r="P52" s="155"/>
      <c r="Q52" s="1106"/>
      <c r="R52" s="255"/>
      <c r="S52" s="195"/>
      <c r="T52" s="309"/>
      <c r="U52" s="486"/>
    </row>
    <row r="53" spans="1:22" s="257" customFormat="1" ht="17.25" customHeight="1" thickBot="1" x14ac:dyDescent="0.3">
      <c r="A53" s="782"/>
      <c r="B53" s="810"/>
      <c r="C53" s="485"/>
      <c r="D53" s="687"/>
      <c r="E53" s="297"/>
      <c r="F53" s="688"/>
      <c r="G53" s="288" t="s">
        <v>27</v>
      </c>
      <c r="H53" s="72">
        <f>SUM(H42:H52)</f>
        <v>89.5</v>
      </c>
      <c r="I53" s="132">
        <f>SUM(I42:I52)</f>
        <v>89.5</v>
      </c>
      <c r="J53" s="45">
        <f>SUM(J42:J52)</f>
        <v>0</v>
      </c>
      <c r="K53" s="72">
        <f t="shared" ref="K53:L53" si="17">SUM(K42:K52)</f>
        <v>60.8</v>
      </c>
      <c r="L53" s="132">
        <f t="shared" si="17"/>
        <v>60.8</v>
      </c>
      <c r="M53" s="45">
        <f t="shared" ref="M53:P53" si="18">SUM(M42:M52)</f>
        <v>0</v>
      </c>
      <c r="N53" s="72">
        <f t="shared" ref="N53:O53" si="19">SUM(N42:N52)</f>
        <v>61.8</v>
      </c>
      <c r="O53" s="132">
        <f t="shared" si="19"/>
        <v>61.8</v>
      </c>
      <c r="P53" s="45">
        <f t="shared" si="18"/>
        <v>0</v>
      </c>
      <c r="Q53" s="159"/>
      <c r="R53" s="89"/>
      <c r="S53" s="342"/>
      <c r="T53" s="192"/>
      <c r="U53" s="186"/>
    </row>
    <row r="54" spans="1:22" s="257" customFormat="1" ht="13.5" thickBot="1" x14ac:dyDescent="0.3">
      <c r="A54" s="26" t="s">
        <v>14</v>
      </c>
      <c r="B54" s="22" t="s">
        <v>28</v>
      </c>
      <c r="C54" s="1107" t="s">
        <v>44</v>
      </c>
      <c r="D54" s="1107"/>
      <c r="E54" s="1107"/>
      <c r="F54" s="1107"/>
      <c r="G54" s="1108"/>
      <c r="H54" s="196">
        <f>H53</f>
        <v>89.5</v>
      </c>
      <c r="I54" s="352">
        <f>I53</f>
        <v>89.5</v>
      </c>
      <c r="J54" s="382">
        <f>J53</f>
        <v>0</v>
      </c>
      <c r="K54" s="196">
        <f t="shared" ref="K54:L54" si="20">K53</f>
        <v>60.8</v>
      </c>
      <c r="L54" s="352">
        <f t="shared" si="20"/>
        <v>60.8</v>
      </c>
      <c r="M54" s="382">
        <f t="shared" ref="M54:P54" si="21">M53</f>
        <v>0</v>
      </c>
      <c r="N54" s="196">
        <f t="shared" ref="N54:O54" si="22">N53</f>
        <v>61.8</v>
      </c>
      <c r="O54" s="352">
        <f t="shared" si="22"/>
        <v>61.8</v>
      </c>
      <c r="P54" s="382">
        <f t="shared" si="21"/>
        <v>0</v>
      </c>
      <c r="Q54" s="1109"/>
      <c r="R54" s="1110"/>
      <c r="S54" s="1110"/>
      <c r="T54" s="1110"/>
      <c r="U54" s="1111"/>
    </row>
    <row r="55" spans="1:22" s="257" customFormat="1" ht="16.5" customHeight="1" thickBot="1" x14ac:dyDescent="0.3">
      <c r="A55" s="21" t="s">
        <v>14</v>
      </c>
      <c r="B55" s="22" t="s">
        <v>36</v>
      </c>
      <c r="C55" s="1112" t="s">
        <v>50</v>
      </c>
      <c r="D55" s="1113"/>
      <c r="E55" s="1113"/>
      <c r="F55" s="1113"/>
      <c r="G55" s="1113"/>
      <c r="H55" s="1113"/>
      <c r="I55" s="1113"/>
      <c r="J55" s="1113"/>
      <c r="K55" s="1113"/>
      <c r="L55" s="1113"/>
      <c r="M55" s="1113"/>
      <c r="N55" s="1113"/>
      <c r="O55" s="1113"/>
      <c r="P55" s="1113"/>
      <c r="Q55" s="1113"/>
      <c r="R55" s="1113"/>
      <c r="S55" s="1113"/>
      <c r="T55" s="1113"/>
      <c r="U55" s="1114"/>
    </row>
    <row r="56" spans="1:22" s="257" customFormat="1" ht="12.75" customHeight="1" x14ac:dyDescent="0.25">
      <c r="A56" s="780" t="s">
        <v>14</v>
      </c>
      <c r="B56" s="803" t="s">
        <v>36</v>
      </c>
      <c r="C56" s="805" t="s">
        <v>14</v>
      </c>
      <c r="D56" s="148" t="s">
        <v>84</v>
      </c>
      <c r="E56" s="271"/>
      <c r="F56" s="807">
        <v>6</v>
      </c>
      <c r="G56" s="267" t="s">
        <v>42</v>
      </c>
      <c r="H56" s="126">
        <v>10</v>
      </c>
      <c r="I56" s="351">
        <v>10</v>
      </c>
      <c r="J56" s="327"/>
      <c r="K56" s="161">
        <v>90</v>
      </c>
      <c r="L56" s="351">
        <v>90</v>
      </c>
      <c r="M56" s="327"/>
      <c r="N56" s="161"/>
      <c r="O56" s="351"/>
      <c r="P56" s="327"/>
      <c r="Q56" s="28"/>
      <c r="R56" s="94"/>
      <c r="S56" s="435"/>
      <c r="T56" s="91"/>
      <c r="U56" s="445"/>
    </row>
    <row r="57" spans="1:22" s="257" customFormat="1" ht="15" customHeight="1" x14ac:dyDescent="0.25">
      <c r="A57" s="781"/>
      <c r="B57" s="804"/>
      <c r="C57" s="806"/>
      <c r="D57" s="276"/>
      <c r="E57" s="255"/>
      <c r="F57" s="808"/>
      <c r="G57" s="85" t="s">
        <v>30</v>
      </c>
      <c r="H57" s="42">
        <v>10</v>
      </c>
      <c r="I57" s="109">
        <v>10</v>
      </c>
      <c r="J57" s="42"/>
      <c r="K57" s="48">
        <v>113.1</v>
      </c>
      <c r="L57" s="109">
        <v>113.1</v>
      </c>
      <c r="M57" s="164"/>
      <c r="N57" s="48">
        <v>101.1</v>
      </c>
      <c r="O57" s="109">
        <v>101.1</v>
      </c>
      <c r="P57" s="164"/>
      <c r="Q57" s="268"/>
      <c r="R57" s="798"/>
      <c r="S57" s="343"/>
      <c r="T57" s="77"/>
      <c r="U57" s="373"/>
    </row>
    <row r="58" spans="1:22" s="257" customFormat="1" ht="15" customHeight="1" x14ac:dyDescent="0.25">
      <c r="A58" s="781"/>
      <c r="B58" s="804"/>
      <c r="C58" s="806"/>
      <c r="D58" s="276"/>
      <c r="E58" s="255"/>
      <c r="F58" s="808"/>
      <c r="G58" s="85" t="s">
        <v>35</v>
      </c>
      <c r="H58" s="42">
        <v>221.9</v>
      </c>
      <c r="I58" s="109">
        <v>221.9</v>
      </c>
      <c r="J58" s="42"/>
      <c r="K58" s="48">
        <v>15</v>
      </c>
      <c r="L58" s="109">
        <v>15</v>
      </c>
      <c r="M58" s="164"/>
      <c r="N58" s="48"/>
      <c r="O58" s="109"/>
      <c r="P58" s="164"/>
      <c r="Q58" s="268"/>
      <c r="R58" s="798"/>
      <c r="S58" s="343"/>
      <c r="T58" s="77"/>
      <c r="U58" s="373"/>
    </row>
    <row r="59" spans="1:22" s="257" customFormat="1" ht="15.75" customHeight="1" x14ac:dyDescent="0.25">
      <c r="A59" s="781"/>
      <c r="B59" s="804"/>
      <c r="C59" s="806"/>
      <c r="D59" s="57" t="s">
        <v>52</v>
      </c>
      <c r="E59" s="1136" t="s">
        <v>53</v>
      </c>
      <c r="F59" s="808"/>
      <c r="G59" s="241"/>
      <c r="H59" s="71"/>
      <c r="I59" s="106"/>
      <c r="J59" s="76"/>
      <c r="K59" s="71"/>
      <c r="L59" s="106"/>
      <c r="M59" s="76"/>
      <c r="N59" s="71"/>
      <c r="O59" s="106"/>
      <c r="P59" s="76"/>
      <c r="Q59" s="816" t="s">
        <v>95</v>
      </c>
      <c r="R59" s="822">
        <v>17</v>
      </c>
      <c r="S59" s="198">
        <v>17</v>
      </c>
      <c r="T59" s="165">
        <v>17</v>
      </c>
      <c r="U59" s="486"/>
    </row>
    <row r="60" spans="1:22" s="257" customFormat="1" ht="18" customHeight="1" x14ac:dyDescent="0.25">
      <c r="A60" s="781"/>
      <c r="B60" s="804"/>
      <c r="C60" s="806"/>
      <c r="D60" s="550"/>
      <c r="E60" s="1137"/>
      <c r="F60" s="808"/>
      <c r="G60" s="175"/>
      <c r="H60" s="48"/>
      <c r="I60" s="109"/>
      <c r="J60" s="164"/>
      <c r="K60" s="48"/>
      <c r="L60" s="109"/>
      <c r="M60" s="164"/>
      <c r="N60" s="48"/>
      <c r="O60" s="109"/>
      <c r="P60" s="164"/>
      <c r="Q60" s="817"/>
      <c r="R60" s="249"/>
      <c r="S60" s="248"/>
      <c r="T60" s="273"/>
      <c r="U60" s="486"/>
    </row>
    <row r="61" spans="1:22" s="257" customFormat="1" ht="24.75" customHeight="1" x14ac:dyDescent="0.25">
      <c r="A61" s="781"/>
      <c r="B61" s="804"/>
      <c r="C61" s="806"/>
      <c r="D61" s="792" t="s">
        <v>54</v>
      </c>
      <c r="E61" s="1138"/>
      <c r="F61" s="808"/>
      <c r="G61" s="138"/>
      <c r="H61" s="48"/>
      <c r="I61" s="109"/>
      <c r="J61" s="164"/>
      <c r="K61" s="48"/>
      <c r="L61" s="109"/>
      <c r="M61" s="164"/>
      <c r="N61" s="48"/>
      <c r="O61" s="109"/>
      <c r="P61" s="164"/>
      <c r="Q61" s="816" t="s">
        <v>198</v>
      </c>
      <c r="R61" s="554" t="s">
        <v>117</v>
      </c>
      <c r="S61" s="555" t="s">
        <v>117</v>
      </c>
      <c r="T61" s="553" t="s">
        <v>117</v>
      </c>
      <c r="U61" s="375"/>
    </row>
    <row r="62" spans="1:22" s="257" customFormat="1" ht="5.25" customHeight="1" x14ac:dyDescent="0.25">
      <c r="A62" s="781"/>
      <c r="B62" s="804"/>
      <c r="C62" s="806"/>
      <c r="D62" s="793"/>
      <c r="E62" s="548"/>
      <c r="F62" s="808"/>
      <c r="G62" s="138"/>
      <c r="H62" s="48"/>
      <c r="I62" s="109"/>
      <c r="J62" s="164"/>
      <c r="K62" s="48"/>
      <c r="L62" s="109"/>
      <c r="M62" s="164"/>
      <c r="N62" s="48"/>
      <c r="O62" s="109"/>
      <c r="P62" s="164"/>
      <c r="Q62" s="817"/>
      <c r="R62" s="558"/>
      <c r="S62" s="559"/>
      <c r="T62" s="557"/>
      <c r="U62" s="375"/>
    </row>
    <row r="63" spans="1:22" s="257" customFormat="1" ht="19.5" customHeight="1" x14ac:dyDescent="0.25">
      <c r="A63" s="781"/>
      <c r="B63" s="804"/>
      <c r="C63" s="806"/>
      <c r="D63" s="1002" t="s">
        <v>171</v>
      </c>
      <c r="E63" s="298"/>
      <c r="F63" s="808"/>
      <c r="G63" s="138"/>
      <c r="H63" s="48"/>
      <c r="I63" s="109"/>
      <c r="J63" s="164"/>
      <c r="K63" s="48"/>
      <c r="L63" s="109"/>
      <c r="M63" s="164"/>
      <c r="N63" s="48"/>
      <c r="O63" s="109"/>
      <c r="P63" s="164"/>
      <c r="Q63" s="274" t="s">
        <v>127</v>
      </c>
      <c r="R63" s="180">
        <v>2</v>
      </c>
      <c r="S63" s="133"/>
      <c r="T63" s="84"/>
      <c r="U63" s="134"/>
    </row>
    <row r="64" spans="1:22" s="257" customFormat="1" ht="27.75" customHeight="1" x14ac:dyDescent="0.25">
      <c r="A64" s="781"/>
      <c r="B64" s="804"/>
      <c r="C64" s="806"/>
      <c r="D64" s="1002"/>
      <c r="E64" s="298"/>
      <c r="F64" s="808"/>
      <c r="G64" s="138"/>
      <c r="H64" s="48"/>
      <c r="I64" s="109"/>
      <c r="J64" s="42"/>
      <c r="K64" s="48"/>
      <c r="L64" s="109"/>
      <c r="M64" s="164"/>
      <c r="N64" s="48"/>
      <c r="O64" s="109"/>
      <c r="P64" s="164"/>
      <c r="Q64" s="911" t="s">
        <v>170</v>
      </c>
      <c r="R64" s="691">
        <v>1</v>
      </c>
      <c r="S64" s="912">
        <v>1</v>
      </c>
      <c r="T64" s="913">
        <v>1</v>
      </c>
      <c r="U64" s="134"/>
      <c r="V64" s="794"/>
    </row>
    <row r="65" spans="1:22" s="257" customFormat="1" ht="31.5" customHeight="1" x14ac:dyDescent="0.25">
      <c r="A65" s="781"/>
      <c r="B65" s="804"/>
      <c r="C65" s="806"/>
      <c r="D65" s="689" t="s">
        <v>179</v>
      </c>
      <c r="E65" s="298"/>
      <c r="F65" s="808"/>
      <c r="G65" s="909"/>
      <c r="H65" s="578"/>
      <c r="I65" s="876"/>
      <c r="J65" s="877"/>
      <c r="K65" s="578"/>
      <c r="L65" s="876"/>
      <c r="M65" s="910"/>
      <c r="N65" s="50"/>
      <c r="O65" s="107"/>
      <c r="P65" s="155"/>
      <c r="Q65" s="800" t="s">
        <v>172</v>
      </c>
      <c r="R65" s="926"/>
      <c r="S65" s="88">
        <v>1</v>
      </c>
      <c r="T65" s="84"/>
      <c r="U65" s="1277"/>
      <c r="V65" s="794"/>
    </row>
    <row r="66" spans="1:22" s="257" customFormat="1" ht="18" customHeight="1" thickBot="1" x14ac:dyDescent="0.3">
      <c r="A66" s="782"/>
      <c r="B66" s="810"/>
      <c r="C66" s="485"/>
      <c r="D66" s="687"/>
      <c r="E66" s="297"/>
      <c r="F66" s="688"/>
      <c r="G66" s="288" t="s">
        <v>27</v>
      </c>
      <c r="H66" s="72">
        <f>SUM(H56:H65)</f>
        <v>241.9</v>
      </c>
      <c r="I66" s="132">
        <f>SUM(I56:I65)</f>
        <v>241.9</v>
      </c>
      <c r="J66" s="45">
        <f>SUM(J56:J65)</f>
        <v>0</v>
      </c>
      <c r="K66" s="72">
        <f t="shared" ref="K66" si="23">SUM(K56:K65)</f>
        <v>218.1</v>
      </c>
      <c r="L66" s="132">
        <f>SUM(L56:L65)</f>
        <v>218.1</v>
      </c>
      <c r="M66" s="45">
        <f t="shared" ref="M66:P66" si="24">SUM(M56:M65)</f>
        <v>0</v>
      </c>
      <c r="N66" s="72">
        <f t="shared" ref="N66:O66" si="25">SUM(N56:N65)</f>
        <v>101.1</v>
      </c>
      <c r="O66" s="132">
        <f t="shared" si="25"/>
        <v>101.1</v>
      </c>
      <c r="P66" s="45">
        <f t="shared" si="24"/>
        <v>0</v>
      </c>
      <c r="Q66" s="904"/>
      <c r="R66" s="88"/>
      <c r="S66" s="133"/>
      <c r="T66" s="84"/>
      <c r="U66" s="1277"/>
    </row>
    <row r="67" spans="1:22" s="257" customFormat="1" ht="13.5" customHeight="1" x14ac:dyDescent="0.2">
      <c r="A67" s="780" t="s">
        <v>14</v>
      </c>
      <c r="B67" s="803" t="s">
        <v>36</v>
      </c>
      <c r="C67" s="805" t="s">
        <v>28</v>
      </c>
      <c r="D67" s="1158" t="s">
        <v>55</v>
      </c>
      <c r="E67" s="328"/>
      <c r="F67" s="721">
        <v>4</v>
      </c>
      <c r="G67" s="722" t="s">
        <v>35</v>
      </c>
      <c r="H67" s="723">
        <v>17.600000000000001</v>
      </c>
      <c r="I67" s="840">
        <v>17.600000000000001</v>
      </c>
      <c r="J67" s="836"/>
      <c r="K67" s="846"/>
      <c r="L67" s="848"/>
      <c r="M67" s="733"/>
      <c r="N67" s="850"/>
      <c r="O67" s="848"/>
      <c r="P67" s="733"/>
      <c r="Q67" s="329"/>
      <c r="R67" s="90"/>
      <c r="S67" s="341"/>
      <c r="T67" s="245"/>
      <c r="U67" s="134"/>
    </row>
    <row r="68" spans="1:22" s="257" customFormat="1" ht="14.1" customHeight="1" x14ac:dyDescent="0.2">
      <c r="A68" s="781"/>
      <c r="B68" s="804"/>
      <c r="C68" s="806"/>
      <c r="D68" s="1159"/>
      <c r="E68" s="714"/>
      <c r="F68" s="725">
        <v>6</v>
      </c>
      <c r="G68" s="726" t="s">
        <v>42</v>
      </c>
      <c r="H68" s="730"/>
      <c r="I68" s="841"/>
      <c r="J68" s="837"/>
      <c r="K68" s="847">
        <v>200</v>
      </c>
      <c r="L68" s="849">
        <v>200</v>
      </c>
      <c r="M68" s="734"/>
      <c r="N68" s="851">
        <v>139.30000000000001</v>
      </c>
      <c r="O68" s="849">
        <v>139.30000000000001</v>
      </c>
      <c r="P68" s="734"/>
      <c r="Q68" s="720"/>
      <c r="R68" s="88"/>
      <c r="S68" s="133"/>
      <c r="T68" s="84"/>
      <c r="U68" s="134"/>
    </row>
    <row r="69" spans="1:22" s="257" customFormat="1" ht="14.1" customHeight="1" x14ac:dyDescent="0.2">
      <c r="A69" s="781"/>
      <c r="B69" s="804"/>
      <c r="C69" s="806"/>
      <c r="D69" s="1159"/>
      <c r="E69" s="714"/>
      <c r="F69" s="808"/>
      <c r="G69" s="299" t="s">
        <v>99</v>
      </c>
      <c r="H69" s="197">
        <v>88.7</v>
      </c>
      <c r="I69" s="354">
        <v>88.7</v>
      </c>
      <c r="J69" s="281"/>
      <c r="K69" s="48">
        <v>22</v>
      </c>
      <c r="L69" s="109">
        <v>22</v>
      </c>
      <c r="M69" s="164"/>
      <c r="N69" s="42"/>
      <c r="O69" s="109"/>
      <c r="P69" s="164"/>
      <c r="Q69" s="720"/>
      <c r="R69" s="88"/>
      <c r="S69" s="133"/>
      <c r="T69" s="84"/>
      <c r="U69" s="134"/>
    </row>
    <row r="70" spans="1:22" s="257" customFormat="1" ht="14.1" customHeight="1" x14ac:dyDescent="0.2">
      <c r="A70" s="781"/>
      <c r="B70" s="804"/>
      <c r="C70" s="806"/>
      <c r="D70" s="1159"/>
      <c r="E70" s="714"/>
      <c r="F70" s="808"/>
      <c r="G70" s="299" t="s">
        <v>35</v>
      </c>
      <c r="H70" s="197">
        <v>110.7</v>
      </c>
      <c r="I70" s="354">
        <v>110.7</v>
      </c>
      <c r="J70" s="281"/>
      <c r="K70" s="48"/>
      <c r="L70" s="109"/>
      <c r="M70" s="164"/>
      <c r="N70" s="42"/>
      <c r="O70" s="109"/>
      <c r="P70" s="164"/>
      <c r="Q70" s="720"/>
      <c r="R70" s="88"/>
      <c r="S70" s="133"/>
      <c r="T70" s="84"/>
      <c r="U70" s="134"/>
    </row>
    <row r="71" spans="1:22" s="257" customFormat="1" ht="14.1" customHeight="1" x14ac:dyDescent="0.2">
      <c r="A71" s="781"/>
      <c r="B71" s="804"/>
      <c r="C71" s="806"/>
      <c r="D71" s="278"/>
      <c r="E71" s="714"/>
      <c r="F71" s="728"/>
      <c r="G71" s="698" t="s">
        <v>30</v>
      </c>
      <c r="H71" s="731">
        <v>50</v>
      </c>
      <c r="I71" s="842">
        <v>50</v>
      </c>
      <c r="J71" s="973"/>
      <c r="K71" s="622">
        <v>110.7</v>
      </c>
      <c r="L71" s="140">
        <v>110.7</v>
      </c>
      <c r="M71" s="177"/>
      <c r="N71" s="42">
        <v>110.7</v>
      </c>
      <c r="O71" s="109">
        <v>110.7</v>
      </c>
      <c r="P71" s="164"/>
      <c r="Q71" s="720"/>
      <c r="R71" s="88"/>
      <c r="S71" s="133"/>
      <c r="T71" s="84"/>
      <c r="U71" s="134"/>
    </row>
    <row r="72" spans="1:22" s="257" customFormat="1" ht="14.1" customHeight="1" x14ac:dyDescent="0.2">
      <c r="A72" s="781"/>
      <c r="B72" s="804"/>
      <c r="C72" s="806"/>
      <c r="D72" s="278"/>
      <c r="E72" s="714"/>
      <c r="F72" s="254">
        <v>5</v>
      </c>
      <c r="G72" s="472" t="s">
        <v>42</v>
      </c>
      <c r="H72" s="715">
        <v>324.2</v>
      </c>
      <c r="I72" s="843">
        <v>324.2</v>
      </c>
      <c r="J72" s="715"/>
      <c r="K72" s="823">
        <f>540.7-148.3</f>
        <v>392.40000000000003</v>
      </c>
      <c r="L72" s="843">
        <f>540.7-148.3</f>
        <v>392.40000000000003</v>
      </c>
      <c r="M72" s="838"/>
      <c r="N72" s="847">
        <v>1161.5999999999999</v>
      </c>
      <c r="O72" s="849">
        <v>1161.5999999999999</v>
      </c>
      <c r="P72" s="734"/>
      <c r="Q72" s="720"/>
      <c r="R72" s="88"/>
      <c r="S72" s="133"/>
      <c r="T72" s="84"/>
      <c r="U72" s="1277"/>
    </row>
    <row r="73" spans="1:22" s="257" customFormat="1" ht="14.1" customHeight="1" x14ac:dyDescent="0.2">
      <c r="A73" s="781"/>
      <c r="B73" s="804"/>
      <c r="C73" s="806"/>
      <c r="D73" s="278"/>
      <c r="E73" s="714"/>
      <c r="F73" s="254"/>
      <c r="G73" s="472" t="s">
        <v>106</v>
      </c>
      <c r="H73" s="715">
        <f>181.9-6.5</f>
        <v>175.4</v>
      </c>
      <c r="I73" s="843">
        <f>181.9-6.5</f>
        <v>175.4</v>
      </c>
      <c r="J73" s="715"/>
      <c r="K73" s="48"/>
      <c r="L73" s="109"/>
      <c r="M73" s="164"/>
      <c r="N73" s="42"/>
      <c r="O73" s="109"/>
      <c r="P73" s="164"/>
      <c r="Q73" s="720"/>
      <c r="R73" s="88"/>
      <c r="S73" s="133"/>
      <c r="T73" s="84"/>
      <c r="U73" s="1277"/>
    </row>
    <row r="74" spans="1:22" s="257" customFormat="1" ht="14.1" customHeight="1" x14ac:dyDescent="0.2">
      <c r="A74" s="781"/>
      <c r="B74" s="804"/>
      <c r="C74" s="806"/>
      <c r="D74" s="278"/>
      <c r="E74" s="714"/>
      <c r="F74" s="254"/>
      <c r="G74" s="131" t="s">
        <v>63</v>
      </c>
      <c r="H74" s="715">
        <v>84.7</v>
      </c>
      <c r="I74" s="843">
        <v>84.7</v>
      </c>
      <c r="J74" s="715"/>
      <c r="K74" s="823">
        <v>82.5</v>
      </c>
      <c r="L74" s="843">
        <v>82.5</v>
      </c>
      <c r="M74" s="838"/>
      <c r="N74" s="715">
        <v>14.1</v>
      </c>
      <c r="O74" s="843">
        <v>14.1</v>
      </c>
      <c r="P74" s="715"/>
      <c r="Q74" s="720"/>
      <c r="R74" s="88"/>
      <c r="S74" s="133"/>
      <c r="T74" s="84"/>
      <c r="U74" s="1277"/>
    </row>
    <row r="75" spans="1:22" s="257" customFormat="1" ht="14.1" customHeight="1" x14ac:dyDescent="0.2">
      <c r="A75" s="781"/>
      <c r="B75" s="804"/>
      <c r="C75" s="806"/>
      <c r="D75" s="278"/>
      <c r="E75" s="714"/>
      <c r="F75" s="254"/>
      <c r="G75" s="131" t="s">
        <v>30</v>
      </c>
      <c r="H75" s="715">
        <f>255.3-105.3</f>
        <v>150</v>
      </c>
      <c r="I75" s="843">
        <f>255.3-105.3</f>
        <v>150</v>
      </c>
      <c r="J75" s="715"/>
      <c r="K75" s="823"/>
      <c r="L75" s="843"/>
      <c r="M75" s="838"/>
      <c r="N75" s="715"/>
      <c r="O75" s="843"/>
      <c r="P75" s="715"/>
      <c r="Q75" s="720"/>
      <c r="R75" s="88"/>
      <c r="S75" s="133"/>
      <c r="T75" s="84"/>
      <c r="U75" s="1277"/>
    </row>
    <row r="76" spans="1:22" s="257" customFormat="1" ht="14.1" customHeight="1" x14ac:dyDescent="0.2">
      <c r="A76" s="861"/>
      <c r="B76" s="867"/>
      <c r="C76" s="868"/>
      <c r="D76" s="278"/>
      <c r="E76" s="714"/>
      <c r="F76" s="254"/>
      <c r="G76" s="131" t="s">
        <v>108</v>
      </c>
      <c r="H76" s="843">
        <f>1226.9-28</f>
        <v>1198.9000000000001</v>
      </c>
      <c r="I76" s="843">
        <f>1226.9-28</f>
        <v>1198.9000000000001</v>
      </c>
      <c r="J76" s="875"/>
      <c r="K76" s="823">
        <v>935.9</v>
      </c>
      <c r="L76" s="843">
        <v>935.9</v>
      </c>
      <c r="M76" s="838"/>
      <c r="N76" s="715">
        <v>160.19999999999999</v>
      </c>
      <c r="O76" s="843">
        <v>160.19999999999999</v>
      </c>
      <c r="P76" s="715"/>
      <c r="Q76" s="720"/>
      <c r="R76" s="88"/>
      <c r="S76" s="133"/>
      <c r="T76" s="84"/>
      <c r="U76" s="1277"/>
    </row>
    <row r="77" spans="1:22" s="257" customFormat="1" ht="18" customHeight="1" x14ac:dyDescent="0.2">
      <c r="A77" s="781"/>
      <c r="B77" s="804"/>
      <c r="C77" s="806"/>
      <c r="D77" s="278"/>
      <c r="E77" s="714"/>
      <c r="F77" s="809"/>
      <c r="G77" s="131" t="s">
        <v>147</v>
      </c>
      <c r="H77" s="843">
        <v>28</v>
      </c>
      <c r="I77" s="843">
        <v>28</v>
      </c>
      <c r="J77" s="875"/>
      <c r="K77" s="823"/>
      <c r="L77" s="843"/>
      <c r="M77" s="838"/>
      <c r="N77" s="715"/>
      <c r="O77" s="843"/>
      <c r="P77" s="715"/>
      <c r="Q77" s="720"/>
      <c r="R77" s="88"/>
      <c r="S77" s="133"/>
      <c r="T77" s="84"/>
      <c r="U77" s="114"/>
    </row>
    <row r="78" spans="1:22" s="257" customFormat="1" ht="16.5" customHeight="1" x14ac:dyDescent="0.25">
      <c r="A78" s="7"/>
      <c r="B78" s="8"/>
      <c r="C78" s="151"/>
      <c r="D78" s="1103" t="s">
        <v>105</v>
      </c>
      <c r="E78" s="716" t="s">
        <v>39</v>
      </c>
      <c r="F78" s="696">
        <v>4</v>
      </c>
      <c r="G78" s="718"/>
      <c r="H78" s="717"/>
      <c r="I78" s="844"/>
      <c r="J78" s="717"/>
      <c r="K78" s="71"/>
      <c r="L78" s="106"/>
      <c r="M78" s="76"/>
      <c r="N78" s="69"/>
      <c r="O78" s="106"/>
      <c r="P78" s="76"/>
      <c r="Q78" s="719" t="s">
        <v>88</v>
      </c>
      <c r="R78" s="180">
        <v>1</v>
      </c>
      <c r="S78" s="221"/>
      <c r="T78" s="221"/>
      <c r="U78" s="1278" t="s">
        <v>215</v>
      </c>
    </row>
    <row r="79" spans="1:22" s="257" customFormat="1" ht="96.75" customHeight="1" x14ac:dyDescent="0.25">
      <c r="A79" s="7"/>
      <c r="B79" s="8"/>
      <c r="C79" s="151"/>
      <c r="D79" s="1068"/>
      <c r="E79" s="1140" t="s">
        <v>133</v>
      </c>
      <c r="F79" s="725">
        <v>6</v>
      </c>
      <c r="G79" s="472" t="s">
        <v>30</v>
      </c>
      <c r="H79" s="732"/>
      <c r="I79" s="974">
        <v>-6.8</v>
      </c>
      <c r="J79" s="975">
        <f>I79-H79</f>
        <v>-6.8</v>
      </c>
      <c r="K79" s="48"/>
      <c r="L79" s="109"/>
      <c r="M79" s="164"/>
      <c r="N79" s="42"/>
      <c r="O79" s="109"/>
      <c r="P79" s="164"/>
      <c r="Q79" s="1290" t="s">
        <v>113</v>
      </c>
      <c r="R79" s="986" t="s">
        <v>213</v>
      </c>
      <c r="S79" s="84">
        <v>60</v>
      </c>
      <c r="T79" s="84">
        <v>100</v>
      </c>
      <c r="U79" s="1279"/>
    </row>
    <row r="80" spans="1:22" s="257" customFormat="1" ht="81.75" customHeight="1" x14ac:dyDescent="0.25">
      <c r="A80" s="7"/>
      <c r="B80" s="8"/>
      <c r="C80" s="151"/>
      <c r="D80" s="1139"/>
      <c r="E80" s="1141"/>
      <c r="F80" s="808"/>
      <c r="G80" s="300"/>
      <c r="H80" s="976"/>
      <c r="I80" s="977"/>
      <c r="J80" s="978"/>
      <c r="K80" s="50"/>
      <c r="L80" s="107"/>
      <c r="M80" s="70"/>
      <c r="N80" s="50"/>
      <c r="O80" s="107"/>
      <c r="P80" s="155"/>
      <c r="Q80" s="1291"/>
      <c r="R80" s="98"/>
      <c r="S80" s="95"/>
      <c r="T80" s="95"/>
      <c r="U80" s="1280"/>
    </row>
    <row r="81" spans="1:22" s="257" customFormat="1" ht="15" customHeight="1" x14ac:dyDescent="0.25">
      <c r="A81" s="781"/>
      <c r="B81" s="804"/>
      <c r="C81" s="806"/>
      <c r="D81" s="1103" t="s">
        <v>56</v>
      </c>
      <c r="E81" s="1155" t="s">
        <v>57</v>
      </c>
      <c r="F81" s="808"/>
      <c r="G81" s="729"/>
      <c r="H81" s="48"/>
      <c r="I81" s="109"/>
      <c r="J81" s="164"/>
      <c r="K81" s="48"/>
      <c r="L81" s="109"/>
      <c r="M81" s="42"/>
      <c r="N81" s="48"/>
      <c r="O81" s="109"/>
      <c r="P81" s="164"/>
      <c r="Q81" s="1275" t="s">
        <v>214</v>
      </c>
      <c r="R81" s="104" t="s">
        <v>173</v>
      </c>
      <c r="S81" s="265" t="s">
        <v>173</v>
      </c>
      <c r="T81" s="265" t="s">
        <v>173</v>
      </c>
      <c r="U81" s="1283" t="s">
        <v>221</v>
      </c>
    </row>
    <row r="82" spans="1:22" s="257" customFormat="1" ht="27" customHeight="1" x14ac:dyDescent="0.25">
      <c r="A82" s="781"/>
      <c r="B82" s="804"/>
      <c r="C82" s="806"/>
      <c r="D82" s="1068"/>
      <c r="E82" s="1156"/>
      <c r="F82" s="808"/>
      <c r="G82" s="729"/>
      <c r="H82" s="48"/>
      <c r="I82" s="109"/>
      <c r="J82" s="42"/>
      <c r="K82" s="48"/>
      <c r="L82" s="109"/>
      <c r="M82" s="42"/>
      <c r="N82" s="48"/>
      <c r="O82" s="109"/>
      <c r="P82" s="164"/>
      <c r="Q82" s="1276"/>
      <c r="R82" s="88"/>
      <c r="S82" s="84"/>
      <c r="T82" s="84"/>
      <c r="U82" s="1279"/>
    </row>
    <row r="83" spans="1:22" s="257" customFormat="1" ht="16.5" customHeight="1" x14ac:dyDescent="0.25">
      <c r="A83" s="7"/>
      <c r="B83" s="8"/>
      <c r="C83" s="151"/>
      <c r="D83" s="1068"/>
      <c r="E83" s="1156"/>
      <c r="F83" s="808"/>
      <c r="G83" s="175"/>
      <c r="H83" s="48"/>
      <c r="I83" s="109"/>
      <c r="J83" s="42"/>
      <c r="K83" s="48"/>
      <c r="L83" s="109"/>
      <c r="M83" s="42"/>
      <c r="N83" s="48"/>
      <c r="O83" s="109"/>
      <c r="P83" s="164"/>
      <c r="Q83" s="482" t="s">
        <v>152</v>
      </c>
      <c r="R83" s="97">
        <v>150</v>
      </c>
      <c r="S83" s="279">
        <v>150</v>
      </c>
      <c r="T83" s="279">
        <v>150</v>
      </c>
      <c r="U83" s="1284"/>
    </row>
    <row r="84" spans="1:22" s="257" customFormat="1" ht="28.5" customHeight="1" x14ac:dyDescent="0.25">
      <c r="A84" s="7"/>
      <c r="B84" s="8"/>
      <c r="C84" s="151"/>
      <c r="D84" s="1083"/>
      <c r="E84" s="1157"/>
      <c r="F84" s="808"/>
      <c r="G84" s="75"/>
      <c r="H84" s="50"/>
      <c r="I84" s="107"/>
      <c r="J84" s="70"/>
      <c r="K84" s="50"/>
      <c r="L84" s="107"/>
      <c r="M84" s="70"/>
      <c r="N84" s="50"/>
      <c r="O84" s="107"/>
      <c r="P84" s="155"/>
      <c r="Q84" s="483" t="s">
        <v>156</v>
      </c>
      <c r="R84" s="97">
        <v>80</v>
      </c>
      <c r="S84" s="279">
        <v>80</v>
      </c>
      <c r="T84" s="279">
        <v>80</v>
      </c>
      <c r="U84" s="114"/>
    </row>
    <row r="85" spans="1:22" s="257" customFormat="1" ht="28.5" customHeight="1" x14ac:dyDescent="0.25">
      <c r="A85" s="1121"/>
      <c r="B85" s="1124"/>
      <c r="C85" s="1127"/>
      <c r="D85" s="1131" t="s">
        <v>177</v>
      </c>
      <c r="E85" s="237" t="s">
        <v>39</v>
      </c>
      <c r="F85" s="1134">
        <v>5</v>
      </c>
      <c r="G85" s="131"/>
      <c r="H85" s="125"/>
      <c r="I85" s="101"/>
      <c r="J85" s="96"/>
      <c r="K85" s="42"/>
      <c r="L85" s="109"/>
      <c r="M85" s="42"/>
      <c r="N85" s="48"/>
      <c r="O85" s="109"/>
      <c r="P85" s="164"/>
      <c r="Q85" s="979" t="s">
        <v>93</v>
      </c>
      <c r="R85" s="318">
        <v>100</v>
      </c>
      <c r="S85" s="750"/>
      <c r="T85" s="750"/>
      <c r="U85" s="251"/>
      <c r="V85" s="579"/>
    </row>
    <row r="86" spans="1:22" s="257" customFormat="1" ht="15.75" customHeight="1" x14ac:dyDescent="0.25">
      <c r="A86" s="1122"/>
      <c r="B86" s="1125"/>
      <c r="C86" s="1128"/>
      <c r="D86" s="1132"/>
      <c r="E86" s="1144" t="s">
        <v>61</v>
      </c>
      <c r="F86" s="1135"/>
      <c r="G86" s="131"/>
      <c r="H86" s="125"/>
      <c r="I86" s="101"/>
      <c r="J86" s="96"/>
      <c r="K86" s="42"/>
      <c r="L86" s="109"/>
      <c r="M86" s="42"/>
      <c r="N86" s="48"/>
      <c r="O86" s="109"/>
      <c r="P86" s="164"/>
      <c r="Q86" s="898" t="s">
        <v>88</v>
      </c>
      <c r="R86" s="88">
        <v>1</v>
      </c>
      <c r="S86" s="315"/>
      <c r="T86" s="315"/>
      <c r="U86" s="251"/>
    </row>
    <row r="87" spans="1:22" s="257" customFormat="1" ht="15.75" customHeight="1" x14ac:dyDescent="0.25">
      <c r="A87" s="1123"/>
      <c r="B87" s="1126"/>
      <c r="C87" s="1129"/>
      <c r="D87" s="1132"/>
      <c r="E87" s="1145"/>
      <c r="F87" s="1135"/>
      <c r="G87" s="131"/>
      <c r="H87" s="125"/>
      <c r="I87" s="101"/>
      <c r="J87" s="96"/>
      <c r="K87" s="42"/>
      <c r="L87" s="109"/>
      <c r="M87" s="42"/>
      <c r="N87" s="48"/>
      <c r="O87" s="109"/>
      <c r="P87" s="164"/>
      <c r="Q87" s="1160" t="s">
        <v>191</v>
      </c>
      <c r="R87" s="255"/>
      <c r="S87" s="315"/>
      <c r="T87" s="315"/>
      <c r="U87" s="251"/>
    </row>
    <row r="88" spans="1:22" s="257" customFormat="1" ht="19.5" customHeight="1" x14ac:dyDescent="0.25">
      <c r="A88" s="1123"/>
      <c r="B88" s="1126"/>
      <c r="C88" s="1129"/>
      <c r="D88" s="1133"/>
      <c r="E88" s="1146"/>
      <c r="F88" s="1135"/>
      <c r="G88" s="175"/>
      <c r="H88" s="835"/>
      <c r="I88" s="845"/>
      <c r="J88" s="839"/>
      <c r="K88" s="42"/>
      <c r="L88" s="109"/>
      <c r="M88" s="42"/>
      <c r="N88" s="48"/>
      <c r="O88" s="109"/>
      <c r="P88" s="164"/>
      <c r="Q88" s="1161"/>
      <c r="R88" s="249"/>
      <c r="S88" s="317"/>
      <c r="T88" s="317"/>
      <c r="U88" s="251"/>
    </row>
    <row r="89" spans="1:22" s="25" customFormat="1" ht="15" customHeight="1" x14ac:dyDescent="0.25">
      <c r="A89" s="1123"/>
      <c r="B89" s="1126"/>
      <c r="C89" s="1130"/>
      <c r="D89" s="1147" t="s">
        <v>128</v>
      </c>
      <c r="E89" s="473" t="s">
        <v>39</v>
      </c>
      <c r="F89" s="1150"/>
      <c r="G89" s="313"/>
      <c r="H89" s="48"/>
      <c r="I89" s="109"/>
      <c r="J89" s="164"/>
      <c r="K89" s="48"/>
      <c r="L89" s="109"/>
      <c r="M89" s="42"/>
      <c r="N89" s="48"/>
      <c r="O89" s="109"/>
      <c r="P89" s="164"/>
      <c r="Q89" s="1151" t="s">
        <v>130</v>
      </c>
      <c r="R89" s="822">
        <v>30</v>
      </c>
      <c r="S89" s="165">
        <v>70</v>
      </c>
      <c r="T89" s="165">
        <v>100</v>
      </c>
      <c r="U89" s="486"/>
    </row>
    <row r="90" spans="1:22" s="25" customFormat="1" ht="16.5" customHeight="1" x14ac:dyDescent="0.25">
      <c r="A90" s="1123"/>
      <c r="B90" s="1126"/>
      <c r="C90" s="1130"/>
      <c r="D90" s="1148"/>
      <c r="E90" s="1153" t="s">
        <v>129</v>
      </c>
      <c r="F90" s="1150"/>
      <c r="G90" s="313"/>
      <c r="H90" s="48"/>
      <c r="I90" s="109"/>
      <c r="J90" s="164"/>
      <c r="K90" s="48"/>
      <c r="L90" s="109"/>
      <c r="M90" s="42"/>
      <c r="N90" s="48"/>
      <c r="O90" s="109"/>
      <c r="P90" s="164"/>
      <c r="Q90" s="1152"/>
      <c r="R90" s="255"/>
      <c r="S90" s="309"/>
      <c r="T90" s="309"/>
      <c r="U90" s="486"/>
    </row>
    <row r="91" spans="1:22" s="25" customFormat="1" ht="16.5" customHeight="1" x14ac:dyDescent="0.25">
      <c r="A91" s="1123"/>
      <c r="B91" s="1126"/>
      <c r="C91" s="1130"/>
      <c r="D91" s="1148"/>
      <c r="E91" s="1138"/>
      <c r="F91" s="1150"/>
      <c r="G91" s="313"/>
      <c r="H91" s="125"/>
      <c r="I91" s="101"/>
      <c r="J91" s="96"/>
      <c r="K91" s="48"/>
      <c r="L91" s="109"/>
      <c r="M91" s="42"/>
      <c r="N91" s="48"/>
      <c r="O91" s="109"/>
      <c r="P91" s="164"/>
      <c r="Q91" s="989"/>
      <c r="R91" s="255"/>
      <c r="S91" s="309"/>
      <c r="T91" s="309"/>
      <c r="U91" s="431"/>
    </row>
    <row r="92" spans="1:22" s="25" customFormat="1" ht="12" customHeight="1" x14ac:dyDescent="0.25">
      <c r="A92" s="1123"/>
      <c r="B92" s="1126"/>
      <c r="C92" s="1130"/>
      <c r="D92" s="1177" t="s">
        <v>178</v>
      </c>
      <c r="E92" s="769" t="s">
        <v>39</v>
      </c>
      <c r="F92" s="801"/>
      <c r="G92" s="71" t="s">
        <v>108</v>
      </c>
      <c r="H92" s="71"/>
      <c r="I92" s="981">
        <v>-320</v>
      </c>
      <c r="J92" s="991">
        <f>I92-H92</f>
        <v>-320</v>
      </c>
      <c r="K92" s="71"/>
      <c r="L92" s="981">
        <v>320</v>
      </c>
      <c r="M92" s="982">
        <f>L92-K92</f>
        <v>320</v>
      </c>
      <c r="N92" s="71"/>
      <c r="O92" s="106"/>
      <c r="P92" s="76"/>
      <c r="Q92" s="1179" t="s">
        <v>199</v>
      </c>
      <c r="R92" s="995" t="s">
        <v>216</v>
      </c>
      <c r="S92" s="165">
        <v>80</v>
      </c>
      <c r="T92" s="165">
        <v>100</v>
      </c>
      <c r="U92" s="1278" t="s">
        <v>222</v>
      </c>
    </row>
    <row r="93" spans="1:22" s="25" customFormat="1" ht="24.75" customHeight="1" x14ac:dyDescent="0.25">
      <c r="A93" s="1123"/>
      <c r="B93" s="1126"/>
      <c r="C93" s="1130"/>
      <c r="D93" s="1072"/>
      <c r="E93" s="1153" t="s">
        <v>61</v>
      </c>
      <c r="F93" s="801"/>
      <c r="G93" s="48" t="s">
        <v>63</v>
      </c>
      <c r="H93" s="48"/>
      <c r="I93" s="355">
        <v>-28</v>
      </c>
      <c r="J93" s="878">
        <f>I93-H93</f>
        <v>-28</v>
      </c>
      <c r="K93" s="48"/>
      <c r="L93" s="355">
        <v>28</v>
      </c>
      <c r="M93" s="353">
        <f>L93-K93</f>
        <v>28</v>
      </c>
      <c r="N93" s="48"/>
      <c r="O93" s="109"/>
      <c r="P93" s="164"/>
      <c r="Q93" s="1162"/>
      <c r="R93" s="938">
        <v>0</v>
      </c>
      <c r="S93" s="309"/>
      <c r="T93" s="309"/>
      <c r="U93" s="1279"/>
    </row>
    <row r="94" spans="1:22" s="25" customFormat="1" ht="72.75" customHeight="1" x14ac:dyDescent="0.25">
      <c r="A94" s="1123"/>
      <c r="B94" s="1126"/>
      <c r="C94" s="1130"/>
      <c r="D94" s="1178"/>
      <c r="E94" s="1154"/>
      <c r="F94" s="801"/>
      <c r="G94" s="47"/>
      <c r="H94" s="50"/>
      <c r="I94" s="107"/>
      <c r="J94" s="155"/>
      <c r="K94" s="50"/>
      <c r="L94" s="107"/>
      <c r="M94" s="70"/>
      <c r="N94" s="50"/>
      <c r="O94" s="107"/>
      <c r="P94" s="155"/>
      <c r="Q94" s="1180"/>
      <c r="R94" s="770"/>
      <c r="S94" s="273"/>
      <c r="T94" s="273"/>
      <c r="U94" s="1280"/>
    </row>
    <row r="95" spans="1:22" s="25" customFormat="1" ht="13.5" customHeight="1" x14ac:dyDescent="0.25">
      <c r="A95" s="1123"/>
      <c r="B95" s="1126"/>
      <c r="C95" s="1130"/>
      <c r="D95" s="1072" t="s">
        <v>82</v>
      </c>
      <c r="E95" s="510" t="s">
        <v>39</v>
      </c>
      <c r="F95" s="801"/>
      <c r="G95" s="43"/>
      <c r="H95" s="48"/>
      <c r="I95" s="109"/>
      <c r="J95" s="164"/>
      <c r="K95" s="48"/>
      <c r="L95" s="944"/>
      <c r="M95" s="945"/>
      <c r="N95" s="48"/>
      <c r="O95" s="109"/>
      <c r="P95" s="164"/>
      <c r="Q95" s="1162" t="s">
        <v>192</v>
      </c>
      <c r="R95" s="179">
        <v>100</v>
      </c>
      <c r="S95" s="309"/>
      <c r="T95" s="309"/>
      <c r="U95" s="1278"/>
    </row>
    <row r="96" spans="1:22" s="25" customFormat="1" ht="17.25" customHeight="1" x14ac:dyDescent="0.25">
      <c r="A96" s="1123"/>
      <c r="B96" s="1126"/>
      <c r="C96" s="1130"/>
      <c r="D96" s="1072"/>
      <c r="E96" s="1153" t="s">
        <v>61</v>
      </c>
      <c r="F96" s="801"/>
      <c r="G96" s="43"/>
      <c r="H96" s="48"/>
      <c r="I96" s="947"/>
      <c r="J96" s="948"/>
      <c r="K96" s="48"/>
      <c r="L96" s="944"/>
      <c r="M96" s="945"/>
      <c r="N96" s="48"/>
      <c r="O96" s="109"/>
      <c r="P96" s="164"/>
      <c r="Q96" s="1162"/>
      <c r="R96" s="179"/>
      <c r="S96" s="309"/>
      <c r="T96" s="309"/>
      <c r="U96" s="1279"/>
    </row>
    <row r="97" spans="1:22" s="25" customFormat="1" ht="11.25" customHeight="1" x14ac:dyDescent="0.25">
      <c r="A97" s="1123"/>
      <c r="B97" s="1126"/>
      <c r="C97" s="1130"/>
      <c r="D97" s="1072"/>
      <c r="E97" s="1138"/>
      <c r="F97" s="801"/>
      <c r="G97" s="124"/>
      <c r="H97" s="48"/>
      <c r="I97" s="109"/>
      <c r="J97" s="164"/>
      <c r="K97" s="48"/>
      <c r="L97" s="944"/>
      <c r="M97" s="945"/>
      <c r="N97" s="48"/>
      <c r="O97" s="109"/>
      <c r="P97" s="164"/>
      <c r="Q97" s="1102"/>
      <c r="R97" s="179"/>
      <c r="S97" s="309"/>
      <c r="T97" s="309"/>
      <c r="U97" s="1279"/>
    </row>
    <row r="98" spans="1:22" s="257" customFormat="1" ht="17.25" customHeight="1" thickBot="1" x14ac:dyDescent="0.3">
      <c r="A98" s="1123"/>
      <c r="B98" s="1126"/>
      <c r="C98" s="1130"/>
      <c r="D98" s="687"/>
      <c r="E98" s="297"/>
      <c r="F98" s="688"/>
      <c r="G98" s="288" t="s">
        <v>27</v>
      </c>
      <c r="H98" s="72">
        <f>SUM(H67:H97)</f>
        <v>2228.2000000000003</v>
      </c>
      <c r="I98" s="72">
        <f t="shared" ref="I98:J98" si="26">SUM(I67:I97)</f>
        <v>1873.4</v>
      </c>
      <c r="J98" s="72">
        <f t="shared" si="26"/>
        <v>-354.8</v>
      </c>
      <c r="K98" s="72">
        <f>SUM(K67:K77)</f>
        <v>1743.5</v>
      </c>
      <c r="L98" s="72">
        <f>SUM(L67:L94)</f>
        <v>2091.5</v>
      </c>
      <c r="M98" s="946">
        <f>SUM(M67:M94)</f>
        <v>348</v>
      </c>
      <c r="N98" s="72">
        <f>SUM(N67:N77)</f>
        <v>1585.8999999999999</v>
      </c>
      <c r="O98" s="132">
        <f>SUM(O67:O77)</f>
        <v>1585.8999999999999</v>
      </c>
      <c r="P98" s="45">
        <f>SUM(P67:P94)</f>
        <v>0</v>
      </c>
      <c r="Q98" s="159"/>
      <c r="R98" s="89"/>
      <c r="S98" s="342"/>
      <c r="T98" s="192"/>
      <c r="U98" s="186"/>
    </row>
    <row r="99" spans="1:22" s="257" customFormat="1" ht="14.1" customHeight="1" x14ac:dyDescent="0.25">
      <c r="A99" s="31" t="s">
        <v>14</v>
      </c>
      <c r="B99" s="32" t="s">
        <v>36</v>
      </c>
      <c r="C99" s="819" t="s">
        <v>36</v>
      </c>
      <c r="D99" s="1158" t="s">
        <v>122</v>
      </c>
      <c r="E99" s="1170" t="s">
        <v>186</v>
      </c>
      <c r="F99" s="807">
        <v>5</v>
      </c>
      <c r="G99" s="267" t="s">
        <v>42</v>
      </c>
      <c r="H99" s="161">
        <v>72.5</v>
      </c>
      <c r="I99" s="351">
        <v>72.5</v>
      </c>
      <c r="J99" s="126"/>
      <c r="K99" s="161">
        <v>77</v>
      </c>
      <c r="L99" s="351">
        <v>77</v>
      </c>
      <c r="M99" s="327"/>
      <c r="N99" s="161">
        <v>100</v>
      </c>
      <c r="O99" s="351">
        <v>100</v>
      </c>
      <c r="P99" s="327"/>
      <c r="Q99" s="282"/>
      <c r="R99" s="881"/>
      <c r="S99" s="282"/>
      <c r="T99" s="891"/>
      <c r="U99" s="1281"/>
    </row>
    <row r="100" spans="1:22" s="257" customFormat="1" ht="14.1" customHeight="1" x14ac:dyDescent="0.25">
      <c r="A100" s="789"/>
      <c r="B100" s="790"/>
      <c r="C100" s="791"/>
      <c r="D100" s="1168"/>
      <c r="E100" s="1171"/>
      <c r="F100" s="808"/>
      <c r="G100" s="138" t="s">
        <v>30</v>
      </c>
      <c r="H100" s="48"/>
      <c r="I100" s="109"/>
      <c r="J100" s="42"/>
      <c r="K100" s="48"/>
      <c r="L100" s="109"/>
      <c r="M100" s="164"/>
      <c r="N100" s="48">
        <v>30.6</v>
      </c>
      <c r="O100" s="109">
        <v>30.6</v>
      </c>
      <c r="P100" s="164"/>
      <c r="Q100" s="282"/>
      <c r="R100" s="779"/>
      <c r="S100" s="282"/>
      <c r="T100" s="786"/>
      <c r="U100" s="1277"/>
    </row>
    <row r="101" spans="1:22" s="257" customFormat="1" ht="14.1" customHeight="1" x14ac:dyDescent="0.25">
      <c r="A101" s="789"/>
      <c r="B101" s="790"/>
      <c r="C101" s="791"/>
      <c r="D101" s="1168"/>
      <c r="E101" s="1171"/>
      <c r="F101" s="808"/>
      <c r="G101" s="138" t="s">
        <v>106</v>
      </c>
      <c r="H101" s="48">
        <v>65.400000000000006</v>
      </c>
      <c r="I101" s="109">
        <v>65.400000000000006</v>
      </c>
      <c r="J101" s="42"/>
      <c r="K101" s="48"/>
      <c r="L101" s="109"/>
      <c r="M101" s="164"/>
      <c r="N101" s="48"/>
      <c r="O101" s="109"/>
      <c r="P101" s="164"/>
      <c r="Q101" s="282"/>
      <c r="R101" s="779"/>
      <c r="S101" s="282"/>
      <c r="T101" s="786"/>
      <c r="U101" s="1277"/>
    </row>
    <row r="102" spans="1:22" s="257" customFormat="1" ht="14.1" customHeight="1" x14ac:dyDescent="0.25">
      <c r="A102" s="864"/>
      <c r="B102" s="865"/>
      <c r="C102" s="866"/>
      <c r="D102" s="1168"/>
      <c r="E102" s="1171"/>
      <c r="F102" s="869"/>
      <c r="G102" s="138" t="s">
        <v>147</v>
      </c>
      <c r="H102" s="109">
        <v>37.799999999999997</v>
      </c>
      <c r="I102" s="109">
        <v>37.799999999999997</v>
      </c>
      <c r="J102" s="353"/>
      <c r="K102" s="48"/>
      <c r="L102" s="109"/>
      <c r="M102" s="164"/>
      <c r="N102" s="48"/>
      <c r="O102" s="109"/>
      <c r="P102" s="164"/>
      <c r="Q102" s="282"/>
      <c r="R102" s="860"/>
      <c r="S102" s="282"/>
      <c r="T102" s="862"/>
      <c r="U102" s="1277"/>
    </row>
    <row r="103" spans="1:22" s="257" customFormat="1" ht="14.1" customHeight="1" x14ac:dyDescent="0.25">
      <c r="A103" s="789"/>
      <c r="B103" s="790"/>
      <c r="C103" s="791"/>
      <c r="D103" s="1169"/>
      <c r="E103" s="1171"/>
      <c r="F103" s="808"/>
      <c r="G103" s="138" t="s">
        <v>108</v>
      </c>
      <c r="H103" s="109">
        <v>170.8</v>
      </c>
      <c r="I103" s="109">
        <v>170.8</v>
      </c>
      <c r="J103" s="353"/>
      <c r="K103" s="48"/>
      <c r="L103" s="109"/>
      <c r="M103" s="164"/>
      <c r="N103" s="48"/>
      <c r="O103" s="109"/>
      <c r="P103" s="164"/>
      <c r="Q103" s="282"/>
      <c r="R103" s="779"/>
      <c r="S103" s="282"/>
      <c r="T103" s="786"/>
      <c r="U103" s="1287"/>
    </row>
    <row r="104" spans="1:22" s="257" customFormat="1" ht="15.75" customHeight="1" x14ac:dyDescent="0.2">
      <c r="A104" s="781"/>
      <c r="B104" s="804"/>
      <c r="C104" s="791"/>
      <c r="D104" s="1172" t="s">
        <v>101</v>
      </c>
      <c r="E104" s="1144" t="s">
        <v>58</v>
      </c>
      <c r="F104" s="504"/>
      <c r="G104" s="241"/>
      <c r="H104" s="71"/>
      <c r="I104" s="106"/>
      <c r="J104" s="76"/>
      <c r="K104" s="71"/>
      <c r="L104" s="106"/>
      <c r="M104" s="76"/>
      <c r="N104" s="71"/>
      <c r="O104" s="106"/>
      <c r="P104" s="76"/>
      <c r="Q104" s="1174" t="s">
        <v>134</v>
      </c>
      <c r="R104" s="822">
        <v>100</v>
      </c>
      <c r="S104" s="198"/>
      <c r="T104" s="165"/>
      <c r="U104" s="486"/>
      <c r="V104" s="428"/>
    </row>
    <row r="105" spans="1:22" s="257" customFormat="1" ht="13.5" customHeight="1" x14ac:dyDescent="0.2">
      <c r="A105" s="781"/>
      <c r="B105" s="804"/>
      <c r="C105" s="791"/>
      <c r="D105" s="1002"/>
      <c r="E105" s="1145"/>
      <c r="F105" s="808"/>
      <c r="G105" s="175"/>
      <c r="H105" s="48"/>
      <c r="I105" s="109"/>
      <c r="J105" s="164"/>
      <c r="K105" s="48"/>
      <c r="L105" s="109"/>
      <c r="M105" s="164"/>
      <c r="N105" s="48"/>
      <c r="O105" s="109"/>
      <c r="P105" s="164"/>
      <c r="Q105" s="1175"/>
      <c r="R105" s="255"/>
      <c r="S105" s="195"/>
      <c r="T105" s="309"/>
      <c r="U105" s="486"/>
      <c r="V105" s="428"/>
    </row>
    <row r="106" spans="1:22" s="257" customFormat="1" ht="16.5" customHeight="1" x14ac:dyDescent="0.2">
      <c r="A106" s="781"/>
      <c r="B106" s="804"/>
      <c r="C106" s="791"/>
      <c r="D106" s="1117"/>
      <c r="E106" s="1173"/>
      <c r="F106" s="808"/>
      <c r="G106" s="138"/>
      <c r="H106" s="48"/>
      <c r="I106" s="109"/>
      <c r="J106" s="164"/>
      <c r="K106" s="48"/>
      <c r="L106" s="109"/>
      <c r="M106" s="164"/>
      <c r="N106" s="48"/>
      <c r="O106" s="109"/>
      <c r="P106" s="164"/>
      <c r="Q106" s="1176"/>
      <c r="R106" s="249"/>
      <c r="S106" s="248"/>
      <c r="T106" s="273"/>
      <c r="U106" s="486"/>
      <c r="V106" s="475"/>
    </row>
    <row r="107" spans="1:22" s="257" customFormat="1" ht="16.5" customHeight="1" x14ac:dyDescent="0.2">
      <c r="A107" s="781"/>
      <c r="B107" s="804"/>
      <c r="C107" s="791"/>
      <c r="D107" s="1002" t="s">
        <v>125</v>
      </c>
      <c r="E107" s="301"/>
      <c r="F107" s="808"/>
      <c r="G107" s="138"/>
      <c r="H107" s="48"/>
      <c r="I107" s="109"/>
      <c r="J107" s="164"/>
      <c r="K107" s="48"/>
      <c r="L107" s="109"/>
      <c r="M107" s="164"/>
      <c r="N107" s="48"/>
      <c r="O107" s="109"/>
      <c r="P107" s="164"/>
      <c r="Q107" s="306" t="s">
        <v>83</v>
      </c>
      <c r="R107" s="225"/>
      <c r="S107" s="437"/>
      <c r="T107" s="437">
        <v>1</v>
      </c>
      <c r="U107" s="486"/>
      <c r="V107" s="1163"/>
    </row>
    <row r="108" spans="1:22" s="257" customFormat="1" ht="6" customHeight="1" x14ac:dyDescent="0.2">
      <c r="A108" s="781"/>
      <c r="B108" s="804"/>
      <c r="C108" s="791"/>
      <c r="D108" s="1002"/>
      <c r="E108" s="301"/>
      <c r="F108" s="808"/>
      <c r="G108" s="138"/>
      <c r="H108" s="48"/>
      <c r="I108" s="109"/>
      <c r="J108" s="164"/>
      <c r="K108" s="48"/>
      <c r="L108" s="109"/>
      <c r="M108" s="164"/>
      <c r="N108" s="48"/>
      <c r="O108" s="109"/>
      <c r="P108" s="164"/>
      <c r="Q108" s="308"/>
      <c r="R108" s="255"/>
      <c r="S108" s="309"/>
      <c r="T108" s="309"/>
      <c r="U108" s="486"/>
      <c r="V108" s="1163"/>
    </row>
    <row r="109" spans="1:22" s="257" customFormat="1" ht="16.5" customHeight="1" x14ac:dyDescent="0.2">
      <c r="A109" s="781"/>
      <c r="B109" s="804"/>
      <c r="C109" s="791"/>
      <c r="D109" s="1188"/>
      <c r="E109" s="301"/>
      <c r="F109" s="808"/>
      <c r="G109" s="138"/>
      <c r="H109" s="48"/>
      <c r="I109" s="109"/>
      <c r="J109" s="164"/>
      <c r="K109" s="48"/>
      <c r="L109" s="109"/>
      <c r="M109" s="164"/>
      <c r="N109" s="48"/>
      <c r="O109" s="109"/>
      <c r="P109" s="164"/>
      <c r="Q109" s="811"/>
      <c r="R109" s="253"/>
      <c r="S109" s="273"/>
      <c r="T109" s="273"/>
      <c r="U109" s="486"/>
      <c r="V109" s="475"/>
    </row>
    <row r="110" spans="1:22" s="25" customFormat="1" ht="18" customHeight="1" x14ac:dyDescent="0.25">
      <c r="A110" s="226"/>
      <c r="B110" s="227"/>
      <c r="C110" s="275"/>
      <c r="D110" s="1164" t="s">
        <v>120</v>
      </c>
      <c r="E110" s="228"/>
      <c r="F110" s="283"/>
      <c r="G110" s="43"/>
      <c r="H110" s="252"/>
      <c r="I110" s="355"/>
      <c r="J110" s="353"/>
      <c r="K110" s="48"/>
      <c r="L110" s="109"/>
      <c r="M110" s="42"/>
      <c r="N110" s="48"/>
      <c r="O110" s="109"/>
      <c r="P110" s="164"/>
      <c r="Q110" s="234" t="s">
        <v>96</v>
      </c>
      <c r="R110" s="235"/>
      <c r="S110" s="309">
        <v>1</v>
      </c>
      <c r="T110" s="309"/>
      <c r="U110" s="486"/>
      <c r="V110" s="229"/>
    </row>
    <row r="111" spans="1:22" s="25" customFormat="1" ht="18.75" customHeight="1" x14ac:dyDescent="0.25">
      <c r="A111" s="226"/>
      <c r="B111" s="227"/>
      <c r="C111" s="275"/>
      <c r="D111" s="1165"/>
      <c r="E111" s="230"/>
      <c r="F111" s="283"/>
      <c r="G111" s="43"/>
      <c r="H111" s="252"/>
      <c r="I111" s="355"/>
      <c r="J111" s="353"/>
      <c r="K111" s="48"/>
      <c r="L111" s="109"/>
      <c r="M111" s="42"/>
      <c r="N111" s="48"/>
      <c r="O111" s="109"/>
      <c r="P111" s="164"/>
      <c r="Q111" s="1070" t="s">
        <v>121</v>
      </c>
      <c r="R111" s="310"/>
      <c r="S111" s="309"/>
      <c r="T111" s="309"/>
      <c r="U111" s="486"/>
      <c r="V111" s="229"/>
    </row>
    <row r="112" spans="1:22" s="25" customFormat="1" ht="5.25" customHeight="1" x14ac:dyDescent="0.25">
      <c r="A112" s="226"/>
      <c r="B112" s="227"/>
      <c r="C112" s="275"/>
      <c r="D112" s="1166"/>
      <c r="E112" s="230"/>
      <c r="F112" s="283"/>
      <c r="G112" s="43"/>
      <c r="H112" s="252"/>
      <c r="I112" s="355"/>
      <c r="J112" s="353"/>
      <c r="K112" s="48"/>
      <c r="L112" s="109"/>
      <c r="M112" s="42"/>
      <c r="N112" s="48"/>
      <c r="O112" s="109"/>
      <c r="P112" s="164"/>
      <c r="Q112" s="1167"/>
      <c r="R112" s="216"/>
      <c r="S112" s="273"/>
      <c r="T112" s="273"/>
      <c r="U112" s="486"/>
    </row>
    <row r="113" spans="1:22" s="25" customFormat="1" ht="18.75" customHeight="1" x14ac:dyDescent="0.25">
      <c r="A113" s="226"/>
      <c r="B113" s="227"/>
      <c r="C113" s="275"/>
      <c r="D113" s="1164" t="s">
        <v>146</v>
      </c>
      <c r="E113" s="230"/>
      <c r="F113" s="283"/>
      <c r="G113" s="43"/>
      <c r="H113" s="252"/>
      <c r="I113" s="355"/>
      <c r="J113" s="353"/>
      <c r="K113" s="48"/>
      <c r="L113" s="109"/>
      <c r="M113" s="42"/>
      <c r="N113" s="48"/>
      <c r="O113" s="109"/>
      <c r="P113" s="164"/>
      <c r="Q113" s="234" t="s">
        <v>96</v>
      </c>
      <c r="R113" s="235"/>
      <c r="S113" s="309"/>
      <c r="T113" s="309">
        <v>1</v>
      </c>
      <c r="U113" s="486"/>
      <c r="V113" s="229"/>
    </row>
    <row r="114" spans="1:22" s="25" customFormat="1" ht="12.75" customHeight="1" x14ac:dyDescent="0.25">
      <c r="A114" s="226"/>
      <c r="B114" s="227"/>
      <c r="C114" s="275"/>
      <c r="D114" s="1181"/>
      <c r="E114" s="230"/>
      <c r="F114" s="283"/>
      <c r="G114" s="43"/>
      <c r="H114" s="252"/>
      <c r="I114" s="355"/>
      <c r="J114" s="353"/>
      <c r="K114" s="48"/>
      <c r="L114" s="109"/>
      <c r="M114" s="42"/>
      <c r="N114" s="48"/>
      <c r="O114" s="109"/>
      <c r="P114" s="164"/>
      <c r="Q114" s="811"/>
      <c r="R114" s="248"/>
      <c r="S114" s="273"/>
      <c r="T114" s="273"/>
      <c r="U114" s="486"/>
    </row>
    <row r="115" spans="1:22" s="25" customFormat="1" ht="18.75" customHeight="1" x14ac:dyDescent="0.25">
      <c r="A115" s="226"/>
      <c r="B115" s="227"/>
      <c r="C115" s="275"/>
      <c r="D115" s="1164" t="s">
        <v>185</v>
      </c>
      <c r="E115" s="230"/>
      <c r="F115" s="283"/>
      <c r="G115" s="43"/>
      <c r="H115" s="252"/>
      <c r="I115" s="355"/>
      <c r="J115" s="353"/>
      <c r="K115" s="48"/>
      <c r="L115" s="109"/>
      <c r="M115" s="42"/>
      <c r="N115" s="48"/>
      <c r="O115" s="109"/>
      <c r="P115" s="42"/>
      <c r="Q115" s="234" t="s">
        <v>96</v>
      </c>
      <c r="R115" s="235"/>
      <c r="S115" s="309"/>
      <c r="T115" s="309">
        <v>1</v>
      </c>
      <c r="U115" s="486"/>
      <c r="V115" s="229"/>
    </row>
    <row r="116" spans="1:22" s="25" customFormat="1" ht="18" customHeight="1" x14ac:dyDescent="0.25">
      <c r="A116" s="226"/>
      <c r="B116" s="227"/>
      <c r="C116" s="275"/>
      <c r="D116" s="1164"/>
      <c r="E116" s="230"/>
      <c r="F116" s="283"/>
      <c r="G116" s="47"/>
      <c r="H116" s="50"/>
      <c r="I116" s="107"/>
      <c r="J116" s="70"/>
      <c r="K116" s="50"/>
      <c r="L116" s="107"/>
      <c r="M116" s="70"/>
      <c r="N116" s="50"/>
      <c r="O116" s="107"/>
      <c r="P116" s="70"/>
      <c r="Q116" s="795"/>
      <c r="R116" s="195"/>
      <c r="S116" s="309"/>
      <c r="T116" s="309"/>
      <c r="U116" s="486"/>
    </row>
    <row r="117" spans="1:22" s="257" customFormat="1" ht="17.25" customHeight="1" thickBot="1" x14ac:dyDescent="0.3">
      <c r="A117" s="226"/>
      <c r="B117" s="227"/>
      <c r="C117" s="246"/>
      <c r="D117" s="687"/>
      <c r="E117" s="297"/>
      <c r="F117" s="688"/>
      <c r="G117" s="288" t="s">
        <v>27</v>
      </c>
      <c r="H117" s="72">
        <f>SUM(H99:H116)</f>
        <v>346.5</v>
      </c>
      <c r="I117" s="132">
        <f>SUM(I99:I116)</f>
        <v>346.5</v>
      </c>
      <c r="J117" s="45">
        <f>SUM(J99:J116)</f>
        <v>0</v>
      </c>
      <c r="K117" s="72">
        <f t="shared" ref="K117:L117" si="27">SUM(K99:K116)</f>
        <v>77</v>
      </c>
      <c r="L117" s="132">
        <f t="shared" si="27"/>
        <v>77</v>
      </c>
      <c r="M117" s="45">
        <f t="shared" ref="M117:P117" si="28">SUM(M99:M116)</f>
        <v>0</v>
      </c>
      <c r="N117" s="72">
        <f t="shared" ref="N117:O117" si="29">SUM(N99:N116)</f>
        <v>130.6</v>
      </c>
      <c r="O117" s="132">
        <f t="shared" si="29"/>
        <v>130.6</v>
      </c>
      <c r="P117" s="45">
        <f t="shared" si="28"/>
        <v>0</v>
      </c>
      <c r="Q117" s="159"/>
      <c r="R117" s="89"/>
      <c r="S117" s="342"/>
      <c r="T117" s="192"/>
      <c r="U117" s="134"/>
    </row>
    <row r="118" spans="1:22" s="257" customFormat="1" ht="15" customHeight="1" x14ac:dyDescent="0.25">
      <c r="A118" s="31" t="s">
        <v>14</v>
      </c>
      <c r="B118" s="32" t="s">
        <v>36</v>
      </c>
      <c r="C118" s="819" t="s">
        <v>38</v>
      </c>
      <c r="D118" s="796" t="s">
        <v>60</v>
      </c>
      <c r="E118" s="819"/>
      <c r="F118" s="807">
        <v>6</v>
      </c>
      <c r="G118" s="267" t="s">
        <v>30</v>
      </c>
      <c r="H118" s="126">
        <v>37.299999999999997</v>
      </c>
      <c r="I118" s="351">
        <v>37.299999999999997</v>
      </c>
      <c r="J118" s="126"/>
      <c r="K118" s="161">
        <v>33.9</v>
      </c>
      <c r="L118" s="351">
        <v>33.9</v>
      </c>
      <c r="M118" s="327"/>
      <c r="N118" s="161">
        <v>37.299999999999997</v>
      </c>
      <c r="O118" s="351">
        <v>37.299999999999997</v>
      </c>
      <c r="P118" s="327"/>
      <c r="Q118" s="284"/>
      <c r="R118" s="812"/>
      <c r="S118" s="284"/>
      <c r="T118" s="785"/>
      <c r="U118" s="376"/>
    </row>
    <row r="119" spans="1:22" s="257" customFormat="1" ht="15" customHeight="1" x14ac:dyDescent="0.25">
      <c r="A119" s="955"/>
      <c r="B119" s="956"/>
      <c r="C119" s="957"/>
      <c r="D119" s="278"/>
      <c r="E119" s="957"/>
      <c r="F119" s="951"/>
      <c r="G119" s="175" t="s">
        <v>35</v>
      </c>
      <c r="H119" s="42">
        <v>5.3</v>
      </c>
      <c r="I119" s="109">
        <v>5.3</v>
      </c>
      <c r="J119" s="42"/>
      <c r="K119" s="48"/>
      <c r="L119" s="109"/>
      <c r="M119" s="164"/>
      <c r="N119" s="48"/>
      <c r="O119" s="109"/>
      <c r="P119" s="164"/>
      <c r="Q119" s="282"/>
      <c r="R119" s="949"/>
      <c r="S119" s="282"/>
      <c r="T119" s="950"/>
      <c r="U119" s="959"/>
    </row>
    <row r="120" spans="1:22" s="257" customFormat="1" ht="14.25" customHeight="1" x14ac:dyDescent="0.25">
      <c r="A120" s="789"/>
      <c r="B120" s="790"/>
      <c r="C120" s="791"/>
      <c r="D120" s="278"/>
      <c r="E120" s="791"/>
      <c r="F120" s="728"/>
      <c r="G120" s="966" t="s">
        <v>63</v>
      </c>
      <c r="H120" s="141">
        <v>10</v>
      </c>
      <c r="I120" s="140">
        <v>10</v>
      </c>
      <c r="J120" s="141"/>
      <c r="K120" s="622"/>
      <c r="L120" s="140"/>
      <c r="M120" s="177"/>
      <c r="N120" s="622"/>
      <c r="O120" s="140"/>
      <c r="P120" s="177"/>
      <c r="Q120" s="282"/>
      <c r="R120" s="779"/>
      <c r="S120" s="282"/>
      <c r="T120" s="786"/>
      <c r="U120" s="376"/>
    </row>
    <row r="121" spans="1:22" s="257" customFormat="1" ht="15.75" customHeight="1" x14ac:dyDescent="0.25">
      <c r="A121" s="789"/>
      <c r="B121" s="790"/>
      <c r="C121" s="791"/>
      <c r="D121" s="278"/>
      <c r="E121" s="791"/>
      <c r="F121" s="808">
        <v>5</v>
      </c>
      <c r="G121" s="175" t="s">
        <v>42</v>
      </c>
      <c r="H121" s="42"/>
      <c r="I121" s="109"/>
      <c r="J121" s="42"/>
      <c r="K121" s="48"/>
      <c r="L121" s="109"/>
      <c r="M121" s="164"/>
      <c r="N121" s="48">
        <v>10</v>
      </c>
      <c r="O121" s="109">
        <v>10</v>
      </c>
      <c r="P121" s="164"/>
      <c r="Q121" s="282"/>
      <c r="R121" s="779"/>
      <c r="S121" s="282"/>
      <c r="T121" s="786"/>
      <c r="U121" s="376"/>
    </row>
    <row r="122" spans="1:22" s="257" customFormat="1" ht="15" customHeight="1" x14ac:dyDescent="0.25">
      <c r="A122" s="1182"/>
      <c r="B122" s="1183"/>
      <c r="C122" s="1184"/>
      <c r="D122" s="1177" t="s">
        <v>85</v>
      </c>
      <c r="E122" s="1144" t="s">
        <v>61</v>
      </c>
      <c r="F122" s="1186"/>
      <c r="G122" s="814"/>
      <c r="H122" s="71"/>
      <c r="I122" s="106"/>
      <c r="J122" s="76"/>
      <c r="K122" s="69"/>
      <c r="L122" s="106"/>
      <c r="M122" s="69"/>
      <c r="N122" s="71"/>
      <c r="O122" s="106"/>
      <c r="P122" s="76"/>
      <c r="Q122" s="1196" t="s">
        <v>135</v>
      </c>
      <c r="R122" s="554">
        <v>1</v>
      </c>
      <c r="S122" s="555">
        <v>1</v>
      </c>
      <c r="T122" s="553">
        <v>1</v>
      </c>
      <c r="U122" s="375"/>
    </row>
    <row r="123" spans="1:22" s="257" customFormat="1" ht="9.75" customHeight="1" x14ac:dyDescent="0.25">
      <c r="A123" s="1182"/>
      <c r="B123" s="1183"/>
      <c r="C123" s="1184"/>
      <c r="D123" s="1072"/>
      <c r="E123" s="1145"/>
      <c r="F123" s="1187"/>
      <c r="G123" s="138"/>
      <c r="H123" s="48"/>
      <c r="I123" s="109"/>
      <c r="J123" s="164"/>
      <c r="K123" s="42"/>
      <c r="L123" s="109"/>
      <c r="M123" s="42"/>
      <c r="N123" s="48"/>
      <c r="O123" s="109"/>
      <c r="P123" s="164"/>
      <c r="Q123" s="1197"/>
      <c r="R123" s="101"/>
      <c r="S123" s="813"/>
      <c r="T123" s="833"/>
      <c r="U123" s="239"/>
    </row>
    <row r="124" spans="1:22" s="257" customFormat="1" ht="8.25" customHeight="1" x14ac:dyDescent="0.25">
      <c r="A124" s="1182"/>
      <c r="B124" s="1183"/>
      <c r="C124" s="1184"/>
      <c r="D124" s="1178"/>
      <c r="E124" s="1185"/>
      <c r="F124" s="1187"/>
      <c r="G124" s="175"/>
      <c r="H124" s="48"/>
      <c r="I124" s="109"/>
      <c r="J124" s="164"/>
      <c r="K124" s="42"/>
      <c r="L124" s="109"/>
      <c r="M124" s="42"/>
      <c r="N124" s="48"/>
      <c r="O124" s="109"/>
      <c r="P124" s="164"/>
      <c r="Q124" s="1197"/>
      <c r="R124" s="102"/>
      <c r="S124" s="154"/>
      <c r="T124" s="834"/>
      <c r="U124" s="239"/>
    </row>
    <row r="125" spans="1:22" s="257" customFormat="1" ht="31.5" customHeight="1" x14ac:dyDescent="0.25">
      <c r="A125" s="1121"/>
      <c r="B125" s="1124"/>
      <c r="C125" s="1127"/>
      <c r="D125" s="1172" t="s">
        <v>205</v>
      </c>
      <c r="E125" s="1145"/>
      <c r="F125" s="1085"/>
      <c r="G125" s="241" t="s">
        <v>30</v>
      </c>
      <c r="H125" s="71"/>
      <c r="I125" s="981">
        <v>6.8</v>
      </c>
      <c r="J125" s="982">
        <f>I125-H125</f>
        <v>6.8</v>
      </c>
      <c r="K125" s="596"/>
      <c r="L125" s="106"/>
      <c r="M125" s="69"/>
      <c r="N125" s="71"/>
      <c r="O125" s="106"/>
      <c r="P125" s="76"/>
      <c r="Q125" s="274" t="s">
        <v>110</v>
      </c>
      <c r="R125" s="822">
        <v>675</v>
      </c>
      <c r="S125" s="344">
        <v>650</v>
      </c>
      <c r="T125" s="444">
        <v>1200</v>
      </c>
      <c r="U125" s="1285" t="s">
        <v>223</v>
      </c>
    </row>
    <row r="126" spans="1:22" s="257" customFormat="1" ht="66.75" customHeight="1" x14ac:dyDescent="0.25">
      <c r="A126" s="1199"/>
      <c r="B126" s="1200"/>
      <c r="C126" s="1201"/>
      <c r="D126" s="1002"/>
      <c r="E126" s="1145"/>
      <c r="F126" s="1085"/>
      <c r="G126" s="75"/>
      <c r="H126" s="70"/>
      <c r="I126" s="876"/>
      <c r="J126" s="877"/>
      <c r="K126" s="59"/>
      <c r="L126" s="107"/>
      <c r="M126" s="70"/>
      <c r="N126" s="50"/>
      <c r="O126" s="107"/>
      <c r="P126" s="155"/>
      <c r="Q126" s="984" t="s">
        <v>204</v>
      </c>
      <c r="R126" s="770">
        <v>5.3</v>
      </c>
      <c r="S126" s="940"/>
      <c r="T126" s="770"/>
      <c r="U126" s="1286"/>
    </row>
    <row r="127" spans="1:22" s="25" customFormat="1" ht="15" customHeight="1" x14ac:dyDescent="0.25">
      <c r="A127" s="802"/>
      <c r="B127" s="587"/>
      <c r="C127" s="784"/>
      <c r="D127" s="1189" t="s">
        <v>182</v>
      </c>
      <c r="E127" s="588"/>
      <c r="F127" s="801"/>
      <c r="G127" s="313"/>
      <c r="H127" s="48"/>
      <c r="I127" s="109"/>
      <c r="J127" s="42"/>
      <c r="K127" s="48"/>
      <c r="L127" s="109"/>
      <c r="M127" s="164"/>
      <c r="N127" s="42"/>
      <c r="O127" s="109"/>
      <c r="P127" s="164"/>
      <c r="Q127" s="933" t="s">
        <v>96</v>
      </c>
      <c r="R127" s="255"/>
      <c r="S127" s="939"/>
      <c r="T127" s="309">
        <v>1</v>
      </c>
      <c r="U127" s="486"/>
    </row>
    <row r="128" spans="1:22" s="25" customFormat="1" ht="14.25" customHeight="1" x14ac:dyDescent="0.25">
      <c r="A128" s="802"/>
      <c r="B128" s="587"/>
      <c r="C128" s="430"/>
      <c r="D128" s="1190"/>
      <c r="E128" s="588"/>
      <c r="F128" s="801"/>
      <c r="G128" s="313"/>
      <c r="H128" s="48"/>
      <c r="I128" s="109"/>
      <c r="J128" s="42"/>
      <c r="K128" s="48"/>
      <c r="L128" s="109"/>
      <c r="M128" s="164"/>
      <c r="N128" s="42"/>
      <c r="O128" s="109"/>
      <c r="P128" s="164"/>
      <c r="Q128" s="797"/>
      <c r="R128" s="255"/>
      <c r="S128" s="195"/>
      <c r="T128" s="309"/>
      <c r="U128" s="486"/>
    </row>
    <row r="129" spans="1:31" s="25" customFormat="1" ht="9.75" customHeight="1" x14ac:dyDescent="0.25">
      <c r="A129" s="591"/>
      <c r="B129" s="587"/>
      <c r="C129" s="430"/>
      <c r="D129" s="1191"/>
      <c r="E129" s="588"/>
      <c r="F129" s="801"/>
      <c r="G129" s="593"/>
      <c r="H129" s="50"/>
      <c r="I129" s="107"/>
      <c r="J129" s="70"/>
      <c r="K129" s="50"/>
      <c r="L129" s="107"/>
      <c r="M129" s="155"/>
      <c r="N129" s="50"/>
      <c r="O129" s="107"/>
      <c r="P129" s="155"/>
      <c r="Q129" s="178"/>
      <c r="R129" s="255"/>
      <c r="S129" s="195"/>
      <c r="T129" s="309"/>
      <c r="U129" s="486"/>
      <c r="X129" s="229"/>
    </row>
    <row r="130" spans="1:31" s="257" customFormat="1" ht="17.25" customHeight="1" thickBot="1" x14ac:dyDescent="0.3">
      <c r="A130" s="226"/>
      <c r="B130" s="227"/>
      <c r="C130" s="246"/>
      <c r="D130" s="687"/>
      <c r="E130" s="297"/>
      <c r="F130" s="688"/>
      <c r="G130" s="288" t="s">
        <v>27</v>
      </c>
      <c r="H130" s="72">
        <f t="shared" ref="H130:P130" si="30">SUM(H118:H129)</f>
        <v>52.599999999999994</v>
      </c>
      <c r="I130" s="132">
        <f t="shared" si="30"/>
        <v>59.399999999999991</v>
      </c>
      <c r="J130" s="45">
        <f t="shared" si="30"/>
        <v>6.8</v>
      </c>
      <c r="K130" s="72">
        <f t="shared" si="30"/>
        <v>33.9</v>
      </c>
      <c r="L130" s="132">
        <f t="shared" si="30"/>
        <v>33.9</v>
      </c>
      <c r="M130" s="45">
        <f t="shared" si="30"/>
        <v>0</v>
      </c>
      <c r="N130" s="72">
        <f t="shared" si="30"/>
        <v>47.3</v>
      </c>
      <c r="O130" s="132">
        <f t="shared" si="30"/>
        <v>47.3</v>
      </c>
      <c r="P130" s="45">
        <f t="shared" si="30"/>
        <v>0</v>
      </c>
      <c r="Q130" s="159"/>
      <c r="R130" s="89"/>
      <c r="S130" s="342"/>
      <c r="T130" s="192"/>
      <c r="U130" s="186"/>
    </row>
    <row r="131" spans="1:31" s="257" customFormat="1" ht="13.5" thickBot="1" x14ac:dyDescent="0.3">
      <c r="A131" s="26" t="s">
        <v>14</v>
      </c>
      <c r="B131" s="22" t="s">
        <v>36</v>
      </c>
      <c r="C131" s="1107" t="s">
        <v>44</v>
      </c>
      <c r="D131" s="1107"/>
      <c r="E131" s="1107"/>
      <c r="F131" s="1107"/>
      <c r="G131" s="1107"/>
      <c r="H131" s="196">
        <f t="shared" ref="H131:P131" si="31">H130+H117+H98+H66</f>
        <v>2869.2000000000003</v>
      </c>
      <c r="I131" s="352">
        <f t="shared" si="31"/>
        <v>2521.2000000000003</v>
      </c>
      <c r="J131" s="49">
        <f t="shared" si="31"/>
        <v>-348</v>
      </c>
      <c r="K131" s="196">
        <f t="shared" si="31"/>
        <v>2072.5</v>
      </c>
      <c r="L131" s="352">
        <f t="shared" si="31"/>
        <v>2420.5</v>
      </c>
      <c r="M131" s="49">
        <f t="shared" si="31"/>
        <v>348</v>
      </c>
      <c r="N131" s="196">
        <f t="shared" si="31"/>
        <v>1864.8999999999996</v>
      </c>
      <c r="O131" s="352">
        <f t="shared" si="31"/>
        <v>1864.8999999999996</v>
      </c>
      <c r="P131" s="49">
        <f t="shared" si="31"/>
        <v>0</v>
      </c>
      <c r="Q131" s="1110"/>
      <c r="R131" s="1110"/>
      <c r="S131" s="1110"/>
      <c r="T131" s="1110"/>
      <c r="U131" s="1111"/>
    </row>
    <row r="132" spans="1:31" s="257" customFormat="1" ht="16.5" customHeight="1" thickBot="1" x14ac:dyDescent="0.3">
      <c r="A132" s="21" t="s">
        <v>14</v>
      </c>
      <c r="B132" s="22" t="s">
        <v>38</v>
      </c>
      <c r="C132" s="1192" t="s">
        <v>102</v>
      </c>
      <c r="D132" s="1193"/>
      <c r="E132" s="1193"/>
      <c r="F132" s="1193"/>
      <c r="G132" s="1193"/>
      <c r="H132" s="1194"/>
      <c r="I132" s="1194"/>
      <c r="J132" s="1194"/>
      <c r="K132" s="1194"/>
      <c r="L132" s="1194"/>
      <c r="M132" s="1194"/>
      <c r="N132" s="1194"/>
      <c r="O132" s="1194"/>
      <c r="P132" s="1194"/>
      <c r="Q132" s="1193"/>
      <c r="R132" s="1193"/>
      <c r="S132" s="1193"/>
      <c r="T132" s="1193"/>
      <c r="U132" s="1195"/>
    </row>
    <row r="133" spans="1:31" s="242" customFormat="1" ht="15.75" customHeight="1" x14ac:dyDescent="0.25">
      <c r="A133" s="243" t="s">
        <v>14</v>
      </c>
      <c r="B133" s="244" t="s">
        <v>38</v>
      </c>
      <c r="C133" s="261" t="s">
        <v>14</v>
      </c>
      <c r="D133" s="1210" t="s">
        <v>200</v>
      </c>
      <c r="E133" s="77"/>
      <c r="F133" s="240">
        <v>1</v>
      </c>
      <c r="G133" s="241" t="s">
        <v>42</v>
      </c>
      <c r="H133" s="71"/>
      <c r="I133" s="351"/>
      <c r="J133" s="69"/>
      <c r="K133" s="71">
        <v>612</v>
      </c>
      <c r="L133" s="351">
        <v>612</v>
      </c>
      <c r="M133" s="76"/>
      <c r="N133" s="71"/>
      <c r="O133" s="351"/>
      <c r="P133" s="76"/>
      <c r="Q133" s="1211" t="s">
        <v>136</v>
      </c>
      <c r="R133" s="245"/>
      <c r="S133" s="245">
        <v>100</v>
      </c>
      <c r="T133" s="245"/>
      <c r="U133" s="264"/>
      <c r="V133" s="607"/>
      <c r="W133" s="162"/>
    </row>
    <row r="134" spans="1:31" s="242" customFormat="1" ht="15.75" customHeight="1" x14ac:dyDescent="0.25">
      <c r="A134" s="243"/>
      <c r="B134" s="244"/>
      <c r="C134" s="261"/>
      <c r="D134" s="1002"/>
      <c r="E134" s="77"/>
      <c r="F134" s="240"/>
      <c r="G134" s="175"/>
      <c r="H134" s="48"/>
      <c r="I134" s="109"/>
      <c r="J134" s="42"/>
      <c r="K134" s="48"/>
      <c r="L134" s="109"/>
      <c r="M134" s="42"/>
      <c r="N134" s="48"/>
      <c r="O134" s="109"/>
      <c r="P134" s="42"/>
      <c r="Q134" s="1212"/>
      <c r="R134" s="84"/>
      <c r="S134" s="84"/>
      <c r="T134" s="84"/>
      <c r="U134" s="134"/>
      <c r="V134" s="602"/>
      <c r="W134" s="162"/>
    </row>
    <row r="135" spans="1:31" s="242" customFormat="1" ht="45" customHeight="1" x14ac:dyDescent="0.25">
      <c r="A135" s="243"/>
      <c r="B135" s="244"/>
      <c r="C135" s="261"/>
      <c r="D135" s="1172"/>
      <c r="E135" s="77"/>
      <c r="F135" s="240"/>
      <c r="G135" s="75"/>
      <c r="H135" s="50"/>
      <c r="I135" s="107"/>
      <c r="J135" s="70"/>
      <c r="K135" s="50"/>
      <c r="L135" s="107"/>
      <c r="M135" s="383"/>
      <c r="N135" s="50"/>
      <c r="O135" s="107"/>
      <c r="P135" s="383"/>
      <c r="Q135" s="1152"/>
      <c r="R135" s="84"/>
      <c r="S135" s="84"/>
      <c r="T135" s="84"/>
      <c r="U135" s="134"/>
      <c r="V135" s="602"/>
      <c r="W135" s="162"/>
    </row>
    <row r="136" spans="1:31" s="257" customFormat="1" ht="18" customHeight="1" thickBot="1" x14ac:dyDescent="0.3">
      <c r="A136" s="243"/>
      <c r="B136" s="244"/>
      <c r="C136" s="261"/>
      <c r="D136" s="786"/>
      <c r="E136" s="77"/>
      <c r="F136" s="240"/>
      <c r="G136" s="289" t="s">
        <v>27</v>
      </c>
      <c r="H136" s="72">
        <f>SUM(H133:H135)</f>
        <v>0</v>
      </c>
      <c r="I136" s="132">
        <f>SUM(I133:I135)</f>
        <v>0</v>
      </c>
      <c r="J136" s="45">
        <f>SUM(J133:J135)</f>
        <v>0</v>
      </c>
      <c r="K136" s="72">
        <f t="shared" ref="K136:L136" si="32">SUM(K132:K135)</f>
        <v>612</v>
      </c>
      <c r="L136" s="132">
        <f t="shared" si="32"/>
        <v>612</v>
      </c>
      <c r="M136" s="45">
        <f t="shared" ref="M136:P136" si="33">SUM(M132:M135)</f>
        <v>0</v>
      </c>
      <c r="N136" s="72">
        <f t="shared" ref="N136:O136" si="34">SUM(N132:N135)</f>
        <v>0</v>
      </c>
      <c r="O136" s="132">
        <f t="shared" si="34"/>
        <v>0</v>
      </c>
      <c r="P136" s="45">
        <f t="shared" si="33"/>
        <v>0</v>
      </c>
      <c r="Q136" s="108"/>
      <c r="R136" s="303"/>
      <c r="S136" s="342"/>
      <c r="T136" s="192"/>
      <c r="U136" s="186"/>
      <c r="V136" s="11"/>
      <c r="W136" s="11"/>
    </row>
    <row r="137" spans="1:31" s="257" customFormat="1" ht="14.1" customHeight="1" x14ac:dyDescent="0.25">
      <c r="A137" s="1078" t="s">
        <v>14</v>
      </c>
      <c r="B137" s="1214" t="s">
        <v>38</v>
      </c>
      <c r="C137" s="1080" t="s">
        <v>28</v>
      </c>
      <c r="D137" s="1092" t="s">
        <v>123</v>
      </c>
      <c r="E137" s="1217" t="s">
        <v>39</v>
      </c>
      <c r="F137" s="1220">
        <v>5</v>
      </c>
      <c r="G137" s="137" t="s">
        <v>42</v>
      </c>
      <c r="H137" s="161">
        <v>2.7</v>
      </c>
      <c r="I137" s="351">
        <v>2.7</v>
      </c>
      <c r="J137" s="327"/>
      <c r="K137" s="161"/>
      <c r="L137" s="351"/>
      <c r="M137" s="327"/>
      <c r="N137" s="161"/>
      <c r="O137" s="351"/>
      <c r="P137" s="327"/>
      <c r="Q137" s="797" t="s">
        <v>91</v>
      </c>
      <c r="R137" s="996" t="s">
        <v>219</v>
      </c>
      <c r="S137" s="996" t="s">
        <v>218</v>
      </c>
      <c r="T137" s="824"/>
      <c r="U137" s="1288" t="s">
        <v>224</v>
      </c>
      <c r="V137" s="658"/>
    </row>
    <row r="138" spans="1:31" s="257" customFormat="1" ht="14.1" customHeight="1" x14ac:dyDescent="0.25">
      <c r="A138" s="1047"/>
      <c r="B138" s="1215"/>
      <c r="C138" s="1081"/>
      <c r="D138" s="1072"/>
      <c r="E138" s="1218"/>
      <c r="F138" s="1221"/>
      <c r="G138" s="138" t="s">
        <v>106</v>
      </c>
      <c r="H138" s="48">
        <v>227.4</v>
      </c>
      <c r="I138" s="109">
        <v>227.4</v>
      </c>
      <c r="J138" s="164"/>
      <c r="K138" s="48"/>
      <c r="L138" s="109"/>
      <c r="M138" s="164"/>
      <c r="N138" s="48"/>
      <c r="O138" s="109"/>
      <c r="P138" s="164"/>
      <c r="Q138" s="1223" t="s">
        <v>175</v>
      </c>
      <c r="R138" s="287"/>
      <c r="S138" s="287" t="s">
        <v>176</v>
      </c>
      <c r="T138" s="824"/>
      <c r="U138" s="1283"/>
      <c r="V138" s="658"/>
    </row>
    <row r="139" spans="1:31" s="257" customFormat="1" ht="14.1" customHeight="1" x14ac:dyDescent="0.25">
      <c r="A139" s="1047"/>
      <c r="B139" s="1215"/>
      <c r="C139" s="1081"/>
      <c r="D139" s="1072"/>
      <c r="E139" s="1218"/>
      <c r="F139" s="1221"/>
      <c r="G139" s="138" t="s">
        <v>108</v>
      </c>
      <c r="H139" s="109">
        <f>1446-146.4</f>
        <v>1299.5999999999999</v>
      </c>
      <c r="I139" s="109">
        <f>1446-146.4-690</f>
        <v>609.59999999999991</v>
      </c>
      <c r="J139" s="878">
        <f>I139-H139</f>
        <v>-690</v>
      </c>
      <c r="K139" s="48">
        <v>131</v>
      </c>
      <c r="L139" s="355">
        <f>131+690</f>
        <v>821</v>
      </c>
      <c r="M139" s="878">
        <f>L139-K139</f>
        <v>690</v>
      </c>
      <c r="N139" s="48"/>
      <c r="O139" s="109"/>
      <c r="P139" s="164"/>
      <c r="Q139" s="1224"/>
      <c r="R139" s="287"/>
      <c r="S139" s="287"/>
      <c r="T139" s="824"/>
      <c r="U139" s="1283"/>
    </row>
    <row r="140" spans="1:31" s="257" customFormat="1" ht="14.1" customHeight="1" x14ac:dyDescent="0.25">
      <c r="A140" s="1047"/>
      <c r="B140" s="1215"/>
      <c r="C140" s="1081"/>
      <c r="D140" s="1072"/>
      <c r="E140" s="1218"/>
      <c r="F140" s="1221"/>
      <c r="G140" s="138" t="s">
        <v>30</v>
      </c>
      <c r="H140" s="109">
        <v>25</v>
      </c>
      <c r="I140" s="109">
        <v>25</v>
      </c>
      <c r="J140" s="164"/>
      <c r="K140" s="48">
        <v>23</v>
      </c>
      <c r="L140" s="109">
        <v>23</v>
      </c>
      <c r="M140" s="42"/>
      <c r="N140" s="48"/>
      <c r="O140" s="109"/>
      <c r="P140" s="164"/>
      <c r="Q140" s="787"/>
      <c r="R140" s="287"/>
      <c r="S140" s="287"/>
      <c r="T140" s="824"/>
      <c r="U140" s="1283"/>
    </row>
    <row r="141" spans="1:31" s="257" customFormat="1" ht="21.75" customHeight="1" x14ac:dyDescent="0.25">
      <c r="A141" s="1047"/>
      <c r="B141" s="1215"/>
      <c r="C141" s="1081"/>
      <c r="D141" s="1072"/>
      <c r="E141" s="1218"/>
      <c r="F141" s="1221"/>
      <c r="G141" s="139" t="s">
        <v>147</v>
      </c>
      <c r="H141" s="107">
        <v>146.4</v>
      </c>
      <c r="I141" s="107">
        <v>146.4</v>
      </c>
      <c r="J141" s="877"/>
      <c r="K141" s="50"/>
      <c r="L141" s="107"/>
      <c r="M141" s="70"/>
      <c r="N141" s="50"/>
      <c r="O141" s="107"/>
      <c r="P141" s="155"/>
      <c r="Q141" s="863"/>
      <c r="R141" s="287"/>
      <c r="S141" s="287"/>
      <c r="T141" s="824"/>
      <c r="U141" s="1283"/>
    </row>
    <row r="142" spans="1:31" s="257" customFormat="1" ht="44.25" customHeight="1" thickBot="1" x14ac:dyDescent="0.3">
      <c r="A142" s="1213"/>
      <c r="B142" s="1216"/>
      <c r="C142" s="1098"/>
      <c r="D142" s="1073"/>
      <c r="E142" s="1219"/>
      <c r="F142" s="1222"/>
      <c r="G142" s="289" t="s">
        <v>27</v>
      </c>
      <c r="H142" s="156">
        <f>SUM(H137:H141)</f>
        <v>1701.1</v>
      </c>
      <c r="I142" s="250">
        <f>SUM(I137:I141)</f>
        <v>1011.0999999999999</v>
      </c>
      <c r="J142" s="250">
        <f>SUM(J137:J141)</f>
        <v>-690</v>
      </c>
      <c r="K142" s="156">
        <f t="shared" ref="K142:P142" si="35">SUM(K137:K140)</f>
        <v>154</v>
      </c>
      <c r="L142" s="250">
        <f t="shared" si="35"/>
        <v>844</v>
      </c>
      <c r="M142" s="319">
        <f t="shared" si="35"/>
        <v>690</v>
      </c>
      <c r="N142" s="156">
        <f t="shared" si="35"/>
        <v>0</v>
      </c>
      <c r="O142" s="250">
        <f t="shared" si="35"/>
        <v>0</v>
      </c>
      <c r="P142" s="319">
        <f t="shared" si="35"/>
        <v>0</v>
      </c>
      <c r="Q142" s="108"/>
      <c r="R142" s="544"/>
      <c r="S142" s="544"/>
      <c r="T142" s="825"/>
      <c r="U142" s="1289"/>
    </row>
    <row r="143" spans="1:31" s="257" customFormat="1" ht="13.5" thickBot="1" x14ac:dyDescent="0.3">
      <c r="A143" s="152" t="s">
        <v>14</v>
      </c>
      <c r="B143" s="783" t="s">
        <v>19</v>
      </c>
      <c r="C143" s="1264" t="s">
        <v>44</v>
      </c>
      <c r="D143" s="1265"/>
      <c r="E143" s="1265"/>
      <c r="F143" s="1265"/>
      <c r="G143" s="1265"/>
      <c r="H143" s="258">
        <f t="shared" ref="H143:P143" si="36">H142+H136</f>
        <v>1701.1</v>
      </c>
      <c r="I143" s="356">
        <f t="shared" si="36"/>
        <v>1011.0999999999999</v>
      </c>
      <c r="J143" s="859">
        <f t="shared" si="36"/>
        <v>-690</v>
      </c>
      <c r="K143" s="258">
        <f t="shared" si="36"/>
        <v>766</v>
      </c>
      <c r="L143" s="356">
        <f t="shared" si="36"/>
        <v>1456</v>
      </c>
      <c r="M143" s="859">
        <f t="shared" si="36"/>
        <v>690</v>
      </c>
      <c r="N143" s="258">
        <f t="shared" si="36"/>
        <v>0</v>
      </c>
      <c r="O143" s="356">
        <f t="shared" si="36"/>
        <v>0</v>
      </c>
      <c r="P143" s="859">
        <f t="shared" si="36"/>
        <v>0</v>
      </c>
      <c r="Q143" s="1204"/>
      <c r="R143" s="1204"/>
      <c r="S143" s="1204"/>
      <c r="T143" s="1204"/>
      <c r="U143" s="1205"/>
    </row>
    <row r="144" spans="1:31" s="257" customFormat="1" ht="12.75" customHeight="1" thickBot="1" x14ac:dyDescent="0.3">
      <c r="A144" s="26" t="s">
        <v>14</v>
      </c>
      <c r="B144" s="1206" t="s">
        <v>65</v>
      </c>
      <c r="C144" s="1207"/>
      <c r="D144" s="1207"/>
      <c r="E144" s="1207"/>
      <c r="F144" s="1207"/>
      <c r="G144" s="1207"/>
      <c r="H144" s="259">
        <f t="shared" ref="H144:P144" si="37">H131+H54+H40+H143</f>
        <v>10837.2</v>
      </c>
      <c r="I144" s="357">
        <f t="shared" si="37"/>
        <v>9803.2000000000007</v>
      </c>
      <c r="J144" s="384">
        <f t="shared" si="37"/>
        <v>-1034</v>
      </c>
      <c r="K144" s="259">
        <f t="shared" si="37"/>
        <v>8276.9000000000015</v>
      </c>
      <c r="L144" s="357">
        <f t="shared" si="37"/>
        <v>9314.9000000000015</v>
      </c>
      <c r="M144" s="384">
        <f t="shared" si="37"/>
        <v>1038</v>
      </c>
      <c r="N144" s="259">
        <f t="shared" si="37"/>
        <v>7308.8</v>
      </c>
      <c r="O144" s="357">
        <f t="shared" si="37"/>
        <v>7308.8</v>
      </c>
      <c r="P144" s="384">
        <f t="shared" si="37"/>
        <v>0</v>
      </c>
      <c r="Q144" s="1208"/>
      <c r="R144" s="1208"/>
      <c r="S144" s="1208"/>
      <c r="T144" s="1208"/>
      <c r="U144" s="1209"/>
      <c r="W144" s="11"/>
      <c r="X144" s="11"/>
      <c r="Y144" s="11"/>
      <c r="Z144" s="11"/>
      <c r="AA144" s="11"/>
      <c r="AB144" s="11"/>
      <c r="AC144" s="11"/>
      <c r="AD144" s="11"/>
      <c r="AE144" s="11"/>
    </row>
    <row r="145" spans="1:31" s="257" customFormat="1" ht="13.5" thickBot="1" x14ac:dyDescent="0.3">
      <c r="A145" s="36" t="s">
        <v>19</v>
      </c>
      <c r="B145" s="1251" t="s">
        <v>66</v>
      </c>
      <c r="C145" s="1252"/>
      <c r="D145" s="1252"/>
      <c r="E145" s="1252"/>
      <c r="F145" s="1252"/>
      <c r="G145" s="1252"/>
      <c r="H145" s="260">
        <f t="shared" ref="H145:I145" si="38">H144</f>
        <v>10837.2</v>
      </c>
      <c r="I145" s="358">
        <f t="shared" si="38"/>
        <v>9803.2000000000007</v>
      </c>
      <c r="J145" s="385">
        <f t="shared" ref="J145:P145" si="39">J144</f>
        <v>-1034</v>
      </c>
      <c r="K145" s="260">
        <f t="shared" ref="K145:L145" si="40">K144</f>
        <v>8276.9000000000015</v>
      </c>
      <c r="L145" s="358">
        <f t="shared" si="40"/>
        <v>9314.9000000000015</v>
      </c>
      <c r="M145" s="385">
        <f t="shared" si="39"/>
        <v>1038</v>
      </c>
      <c r="N145" s="260">
        <f t="shared" ref="N145:O145" si="41">N144</f>
        <v>7308.8</v>
      </c>
      <c r="O145" s="358">
        <f t="shared" si="41"/>
        <v>7308.8</v>
      </c>
      <c r="P145" s="385">
        <f t="shared" si="39"/>
        <v>0</v>
      </c>
      <c r="Q145" s="1253"/>
      <c r="R145" s="1253"/>
      <c r="S145" s="1253"/>
      <c r="T145" s="1253"/>
      <c r="U145" s="1254"/>
      <c r="V145" s="11"/>
      <c r="W145" s="11"/>
      <c r="X145" s="11"/>
      <c r="Y145" s="11"/>
      <c r="Z145" s="11"/>
      <c r="AA145" s="11"/>
      <c r="AB145" s="11"/>
      <c r="AC145" s="11"/>
      <c r="AD145" s="11"/>
      <c r="AE145" s="11"/>
    </row>
    <row r="146" spans="1:31" s="160" customFormat="1" ht="15" customHeight="1" x14ac:dyDescent="0.25">
      <c r="A146" s="1255"/>
      <c r="B146" s="1256"/>
      <c r="C146" s="1256"/>
      <c r="D146" s="1256"/>
      <c r="E146" s="1256"/>
      <c r="F146" s="1256"/>
      <c r="G146" s="1256"/>
      <c r="H146" s="1256"/>
      <c r="I146" s="1256"/>
      <c r="J146" s="1256"/>
      <c r="K146" s="1256"/>
      <c r="L146" s="1256"/>
      <c r="M146" s="1256"/>
      <c r="N146" s="1256"/>
      <c r="O146" s="1256"/>
      <c r="P146" s="1256"/>
      <c r="Q146" s="788"/>
      <c r="R146" s="788"/>
      <c r="S146" s="788"/>
      <c r="T146" s="788"/>
      <c r="U146" s="788"/>
      <c r="V146" s="788"/>
      <c r="W146" s="162"/>
      <c r="X146" s="162"/>
      <c r="Y146" s="162"/>
      <c r="Z146" s="162"/>
      <c r="AA146" s="162"/>
      <c r="AB146" s="162"/>
      <c r="AC146" s="162"/>
      <c r="AD146" s="162"/>
      <c r="AE146" s="162"/>
    </row>
    <row r="147" spans="1:31" s="162" customFormat="1" ht="14.25" customHeight="1" x14ac:dyDescent="0.25">
      <c r="A147" s="788"/>
      <c r="B147" s="489"/>
      <c r="C147" s="489"/>
      <c r="D147" s="489"/>
      <c r="E147" s="489"/>
      <c r="F147" s="489"/>
      <c r="G147" s="489"/>
      <c r="H147" s="489"/>
      <c r="I147" s="489"/>
      <c r="J147" s="489"/>
      <c r="K147" s="489"/>
      <c r="L147" s="489"/>
      <c r="M147" s="489"/>
      <c r="N147" s="489"/>
      <c r="O147" s="489"/>
      <c r="P147" s="489"/>
      <c r="Q147" s="542"/>
      <c r="R147" s="788"/>
      <c r="S147" s="788"/>
      <c r="T147" s="788"/>
      <c r="U147" s="788"/>
      <c r="V147" s="788"/>
    </row>
    <row r="148" spans="1:31" s="37" customFormat="1" ht="16.5" customHeight="1" thickBot="1" x14ac:dyDescent="0.3">
      <c r="A148" s="1257" t="s">
        <v>67</v>
      </c>
      <c r="B148" s="1257"/>
      <c r="C148" s="1257"/>
      <c r="D148" s="1257"/>
      <c r="E148" s="1257"/>
      <c r="F148" s="1257"/>
      <c r="G148" s="1257"/>
      <c r="H148" s="38"/>
      <c r="I148" s="38"/>
      <c r="J148" s="38"/>
      <c r="K148" s="38"/>
      <c r="L148" s="38"/>
      <c r="M148" s="38"/>
      <c r="N148" s="38"/>
      <c r="O148" s="38"/>
      <c r="P148" s="38"/>
      <c r="Q148" s="10"/>
      <c r="R148" s="10"/>
      <c r="S148" s="10"/>
      <c r="T148" s="10"/>
      <c r="U148" s="10"/>
      <c r="V148" s="11"/>
      <c r="W148" s="11"/>
      <c r="X148" s="11"/>
      <c r="Y148" s="11"/>
      <c r="Z148" s="11"/>
      <c r="AA148" s="11"/>
      <c r="AB148" s="11"/>
      <c r="AC148" s="11"/>
      <c r="AD148" s="11"/>
      <c r="AE148" s="11"/>
    </row>
    <row r="149" spans="1:31" s="257" customFormat="1" ht="74.25" customHeight="1" thickBot="1" x14ac:dyDescent="0.3">
      <c r="A149" s="1258" t="s">
        <v>68</v>
      </c>
      <c r="B149" s="1259"/>
      <c r="C149" s="1259"/>
      <c r="D149" s="1259"/>
      <c r="E149" s="1259"/>
      <c r="F149" s="1259"/>
      <c r="G149" s="1260"/>
      <c r="H149" s="363" t="s">
        <v>159</v>
      </c>
      <c r="I149" s="364" t="s">
        <v>203</v>
      </c>
      <c r="J149" s="365" t="s">
        <v>139</v>
      </c>
      <c r="K149" s="852" t="s">
        <v>111</v>
      </c>
      <c r="L149" s="364" t="s">
        <v>148</v>
      </c>
      <c r="M149" s="365" t="s">
        <v>139</v>
      </c>
      <c r="N149" s="852" t="s">
        <v>154</v>
      </c>
      <c r="O149" s="364" t="s">
        <v>202</v>
      </c>
      <c r="P149" s="365" t="s">
        <v>139</v>
      </c>
      <c r="Q149" s="1"/>
      <c r="R149" s="1"/>
      <c r="S149" s="1"/>
      <c r="T149" s="1"/>
      <c r="U149" s="1"/>
      <c r="V149" s="11"/>
      <c r="W149" s="11"/>
      <c r="X149" s="11"/>
      <c r="Y149" s="11"/>
      <c r="Z149" s="11"/>
      <c r="AA149" s="11"/>
      <c r="AB149" s="11"/>
      <c r="AC149" s="11"/>
      <c r="AD149" s="11"/>
      <c r="AE149" s="11"/>
    </row>
    <row r="150" spans="1:31" s="257" customFormat="1" x14ac:dyDescent="0.25">
      <c r="A150" s="1261" t="s">
        <v>69</v>
      </c>
      <c r="B150" s="1262"/>
      <c r="C150" s="1262"/>
      <c r="D150" s="1262"/>
      <c r="E150" s="1262"/>
      <c r="F150" s="1262"/>
      <c r="G150" s="1263"/>
      <c r="H150" s="423">
        <f>H151+H158+H159+H161+H160</f>
        <v>10748.5</v>
      </c>
      <c r="I150" s="366">
        <f t="shared" ref="I150:J150" si="42">I151+I158+I159+I161+I160</f>
        <v>9714.5</v>
      </c>
      <c r="J150" s="853">
        <f t="shared" si="42"/>
        <v>-1034</v>
      </c>
      <c r="K150" s="423">
        <f t="shared" ref="K150" si="43">K151+K158+K159+K161+K160</f>
        <v>8254.9</v>
      </c>
      <c r="L150" s="366">
        <f t="shared" ref="L150" si="44">L151+L158+L159+L161+L160</f>
        <v>9292.9</v>
      </c>
      <c r="M150" s="853">
        <f t="shared" ref="M150" si="45">M151+M158+M159+M161+M160</f>
        <v>1038</v>
      </c>
      <c r="N150" s="423">
        <f t="shared" ref="N150" si="46">N151+N158+N159+N161+N160</f>
        <v>7308.8</v>
      </c>
      <c r="O150" s="366">
        <f t="shared" ref="O150" si="47">O151+O158+O159+O161+O160</f>
        <v>7308.8</v>
      </c>
      <c r="P150" s="908">
        <f t="shared" ref="P150" si="48">P151+P158+P159+P161+P160</f>
        <v>0</v>
      </c>
      <c r="Q150" s="39"/>
      <c r="R150" s="1"/>
      <c r="S150" s="1"/>
      <c r="T150" s="1"/>
      <c r="U150" s="1"/>
      <c r="V150" s="11"/>
      <c r="W150" s="11"/>
      <c r="X150" s="11"/>
      <c r="Y150" s="11"/>
      <c r="Z150" s="11"/>
      <c r="AA150" s="11"/>
      <c r="AB150" s="11"/>
      <c r="AC150" s="11"/>
      <c r="AD150" s="11"/>
      <c r="AE150" s="11"/>
    </row>
    <row r="151" spans="1:31" s="257" customFormat="1" ht="12.75" customHeight="1" x14ac:dyDescent="0.2">
      <c r="A151" s="1245" t="s">
        <v>70</v>
      </c>
      <c r="B151" s="1246"/>
      <c r="C151" s="1246"/>
      <c r="D151" s="1246"/>
      <c r="E151" s="1246"/>
      <c r="F151" s="1246"/>
      <c r="G151" s="1247"/>
      <c r="H151" s="424">
        <f t="shared" ref="H151:P151" si="49">SUM(H152:H157)</f>
        <v>8448.7999999999993</v>
      </c>
      <c r="I151" s="367">
        <f t="shared" si="49"/>
        <v>7410.8</v>
      </c>
      <c r="J151" s="854">
        <f t="shared" si="49"/>
        <v>-1038</v>
      </c>
      <c r="K151" s="424">
        <f t="shared" si="49"/>
        <v>7815.7999999999993</v>
      </c>
      <c r="L151" s="367">
        <f t="shared" si="49"/>
        <v>8853.7999999999993</v>
      </c>
      <c r="M151" s="381">
        <f t="shared" si="49"/>
        <v>1038</v>
      </c>
      <c r="N151" s="424">
        <f t="shared" si="49"/>
        <v>6880.2</v>
      </c>
      <c r="O151" s="367">
        <f t="shared" si="49"/>
        <v>6880.2</v>
      </c>
      <c r="P151" s="381">
        <f t="shared" si="49"/>
        <v>0</v>
      </c>
      <c r="Q151" s="39"/>
      <c r="R151" s="1"/>
      <c r="S151" s="1"/>
      <c r="T151" s="1"/>
      <c r="U151" s="1"/>
      <c r="W151" s="11"/>
      <c r="X151" s="11"/>
      <c r="Y151" s="11"/>
      <c r="Z151" s="11"/>
      <c r="AA151" s="11"/>
      <c r="AB151" s="11"/>
      <c r="AC151" s="11"/>
      <c r="AD151" s="11"/>
      <c r="AE151" s="11"/>
    </row>
    <row r="152" spans="1:31" s="257" customFormat="1" x14ac:dyDescent="0.25">
      <c r="A152" s="1248" t="s">
        <v>71</v>
      </c>
      <c r="B152" s="1249"/>
      <c r="C152" s="1249"/>
      <c r="D152" s="1249"/>
      <c r="E152" s="1249"/>
      <c r="F152" s="1249"/>
      <c r="G152" s="1250"/>
      <c r="H152" s="417">
        <f>SUMIF(G15:G145,"SB",H15:H145)</f>
        <v>409.4</v>
      </c>
      <c r="I152" s="368">
        <f>SUMIF(G15:G145,"SB",I15:I145)</f>
        <v>409.4</v>
      </c>
      <c r="J152" s="855">
        <f>SUMIF(G15:G145,"SB",J15:J145)</f>
        <v>0</v>
      </c>
      <c r="K152" s="417">
        <f>SUMIF(G15:G145,"SB",K15:K145)</f>
        <v>1371.4</v>
      </c>
      <c r="L152" s="368">
        <f>SUMIF(G15:G145,"SB",L15:L145)</f>
        <v>1371.4</v>
      </c>
      <c r="M152" s="388">
        <f>SUMIF(G15:G145,"SB",M15:M145)</f>
        <v>0</v>
      </c>
      <c r="N152" s="417">
        <f>SUMIF(G15:G145,"SB",N15:N145)</f>
        <v>1410.8999999999999</v>
      </c>
      <c r="O152" s="368">
        <f>SUMIF(G15:G145,"SB",O15:O145)</f>
        <v>1410.8999999999999</v>
      </c>
      <c r="P152" s="388">
        <f>SUMIF(G15:G145,"SB",P15:P145)</f>
        <v>0</v>
      </c>
      <c r="Q152" s="39"/>
      <c r="R152" s="1"/>
      <c r="S152" s="1"/>
      <c r="T152" s="1"/>
      <c r="U152" s="1"/>
      <c r="W152" s="11"/>
      <c r="X152" s="11"/>
      <c r="Y152" s="11"/>
      <c r="Z152" s="11"/>
      <c r="AA152" s="11"/>
      <c r="AB152" s="11"/>
      <c r="AC152" s="11"/>
      <c r="AD152" s="11"/>
      <c r="AE152" s="11"/>
    </row>
    <row r="153" spans="1:31" s="257" customFormat="1" ht="15" customHeight="1" x14ac:dyDescent="0.25">
      <c r="A153" s="1242" t="s">
        <v>187</v>
      </c>
      <c r="B153" s="1243"/>
      <c r="C153" s="1243"/>
      <c r="D153" s="1243"/>
      <c r="E153" s="1243"/>
      <c r="F153" s="1243"/>
      <c r="G153" s="1244"/>
      <c r="H153" s="421">
        <f>SUMIF(G15:G145,"SB(AA)",H15:H145)</f>
        <v>420</v>
      </c>
      <c r="I153" s="369">
        <f>SUMIF(G15:G145,"SB(AA)",I15:I145)</f>
        <v>420</v>
      </c>
      <c r="J153" s="856">
        <f>SUMIF(G15:G145,"SB(AA)",J15:J145)</f>
        <v>0</v>
      </c>
      <c r="K153" s="421">
        <f>SUMIF(G15:G145,"SB(AA)",K15:K145)</f>
        <v>420</v>
      </c>
      <c r="L153" s="369">
        <f>SUMIF(G15:G145,"SB(AA)",L15:L145)</f>
        <v>420</v>
      </c>
      <c r="M153" s="391">
        <f>SUMIF(G15:G145,"SB(AA)",M15:M145)</f>
        <v>0</v>
      </c>
      <c r="N153" s="421">
        <f>SUMIF(G15:G145,"SB(AA)",N15:N145)</f>
        <v>420.00000000000006</v>
      </c>
      <c r="O153" s="369">
        <f>SUMIF(G15:G145,"SB(AA)",O15:O145)</f>
        <v>420.00000000000006</v>
      </c>
      <c r="P153" s="391">
        <f>SUMIF(G15:G145,"SB(AA)",P15:P145)</f>
        <v>0</v>
      </c>
      <c r="Q153" s="39"/>
      <c r="R153" s="1"/>
      <c r="S153" s="1"/>
      <c r="T153" s="1"/>
      <c r="U153" s="1"/>
      <c r="W153" s="11"/>
      <c r="X153" s="11"/>
      <c r="Y153" s="11"/>
      <c r="Z153" s="11"/>
      <c r="AA153" s="11"/>
      <c r="AB153" s="11"/>
      <c r="AC153" s="11"/>
      <c r="AD153" s="11"/>
      <c r="AE153" s="11"/>
    </row>
    <row r="154" spans="1:31" s="257" customFormat="1" x14ac:dyDescent="0.25">
      <c r="A154" s="1242" t="s">
        <v>72</v>
      </c>
      <c r="B154" s="1243"/>
      <c r="C154" s="1243"/>
      <c r="D154" s="1243"/>
      <c r="E154" s="1243"/>
      <c r="F154" s="1243"/>
      <c r="G154" s="1244"/>
      <c r="H154" s="417">
        <f>SUMIF(G15:G145,"SB(VR)",H15:H145)</f>
        <v>4850</v>
      </c>
      <c r="I154" s="368">
        <f>SUMIF(G15:G145,"SB(VR)",I15:I145)</f>
        <v>4850</v>
      </c>
      <c r="J154" s="855">
        <f>SUMIF(G15:G145,"SB(VR)",J15:J145)</f>
        <v>0</v>
      </c>
      <c r="K154" s="417">
        <f>SUMIF(G15:G145,"SB(VR)",K15:K145)</f>
        <v>4875</v>
      </c>
      <c r="L154" s="368">
        <f>SUMIF(G15:G145,"SB(VR)",L15:L145)</f>
        <v>4875</v>
      </c>
      <c r="M154" s="388">
        <f>SUMIF(G15:G145,"SB(VR)",M15:M145)</f>
        <v>0</v>
      </c>
      <c r="N154" s="417">
        <f>SUMIF(G15:G145,"SB(VR)",N15:N145)</f>
        <v>4875</v>
      </c>
      <c r="O154" s="368">
        <f>SUMIF(G15:G145,"SB(VR)",O15:O145)</f>
        <v>4875</v>
      </c>
      <c r="P154" s="388">
        <f>SUMIF(G15:G145,"SB(VR)",P15:P145)</f>
        <v>0</v>
      </c>
      <c r="Q154" s="39"/>
      <c r="R154" s="1"/>
      <c r="S154" s="1"/>
      <c r="T154" s="1"/>
      <c r="U154" s="1"/>
      <c r="W154" s="11"/>
      <c r="X154" s="11"/>
      <c r="Y154" s="11"/>
      <c r="Z154" s="11"/>
      <c r="AA154" s="11"/>
      <c r="AB154" s="11"/>
      <c r="AC154" s="11"/>
      <c r="AD154" s="11"/>
      <c r="AE154" s="11"/>
    </row>
    <row r="155" spans="1:31" s="257" customFormat="1" x14ac:dyDescent="0.25">
      <c r="A155" s="1242" t="s">
        <v>73</v>
      </c>
      <c r="B155" s="1243"/>
      <c r="C155" s="1243"/>
      <c r="D155" s="1243"/>
      <c r="E155" s="1243"/>
      <c r="F155" s="1243"/>
      <c r="G155" s="1244"/>
      <c r="H155" s="417">
        <f>SUMIF(G15:G145,"SB(VB)",H15:H145)</f>
        <v>100.10000000000001</v>
      </c>
      <c r="I155" s="368">
        <f>SUMIF(G15:G145,"SB(VB)",I15:I145)</f>
        <v>72.100000000000009</v>
      </c>
      <c r="J155" s="855">
        <f>SUMIF(G15:G145,"SB(VB)",J15:J145)</f>
        <v>-28</v>
      </c>
      <c r="K155" s="417">
        <f>SUMIF(G15:G145,"SB(VB)",K15:K145)</f>
        <v>82.5</v>
      </c>
      <c r="L155" s="368">
        <f>SUMIF(G15:G145,"SB(VB)",L15:L145)</f>
        <v>110.5</v>
      </c>
      <c r="M155" s="388">
        <f>SUMIF(G15:G145,"SB(VB)",M15:M145)</f>
        <v>28</v>
      </c>
      <c r="N155" s="417">
        <f>SUMIF(G15:G145,"SB(VB)",N15:N145)</f>
        <v>14.1</v>
      </c>
      <c r="O155" s="368">
        <f>SUMIF(G15:G145,"SB(VB)",O15:O145)</f>
        <v>14.1</v>
      </c>
      <c r="P155" s="388">
        <f>SUMIF(G15:G145,"SB(VB)",P15:P145)</f>
        <v>0</v>
      </c>
      <c r="Q155" s="39"/>
      <c r="R155" s="1"/>
      <c r="S155" s="1"/>
      <c r="T155" s="1"/>
      <c r="U155" s="1"/>
    </row>
    <row r="156" spans="1:31" s="257" customFormat="1" ht="27" customHeight="1" x14ac:dyDescent="0.25">
      <c r="A156" s="1242" t="s">
        <v>157</v>
      </c>
      <c r="B156" s="1243"/>
      <c r="C156" s="1243"/>
      <c r="D156" s="1243"/>
      <c r="E156" s="1243"/>
      <c r="F156" s="1243"/>
      <c r="G156" s="1244"/>
      <c r="H156" s="417">
        <f>SUMIF(G15:G145,"SB(ESA)",H15:H145)</f>
        <v>0</v>
      </c>
      <c r="I156" s="368">
        <f>SUMIF(F15:F145,"SB(ESA)",I15:I145)</f>
        <v>0</v>
      </c>
      <c r="J156" s="855">
        <f>SUMIF(G15:G145,"SB(ESA)",J15:J145)</f>
        <v>0</v>
      </c>
      <c r="K156" s="417">
        <f>SUMIF(G17:G145,"SB(ESA)",K17:K145)</f>
        <v>0</v>
      </c>
      <c r="L156" s="368">
        <f>SUMIF(G17:G145,"SB(ESA)",L17:L145)</f>
        <v>0</v>
      </c>
      <c r="M156" s="388">
        <f>SUMIF(G17:G145,"SB(ESA)",M17:M145)</f>
        <v>0</v>
      </c>
      <c r="N156" s="417">
        <f>SUMIF(G17:G145,"SB(ESA)",N17:N145)</f>
        <v>0</v>
      </c>
      <c r="O156" s="368">
        <f>SUMIF(G17:G145,"SB(ESA)",O17:O145)</f>
        <v>0</v>
      </c>
      <c r="P156" s="388">
        <f>SUMIF(G17:G145,"SB(ESA)",P17:P145)</f>
        <v>0</v>
      </c>
      <c r="Q156" s="39"/>
      <c r="R156" s="1"/>
      <c r="S156" s="1"/>
      <c r="T156" s="1"/>
      <c r="U156" s="1"/>
    </row>
    <row r="157" spans="1:31" s="257" customFormat="1" ht="27.75" customHeight="1" x14ac:dyDescent="0.25">
      <c r="A157" s="1242" t="s">
        <v>137</v>
      </c>
      <c r="B157" s="1243"/>
      <c r="C157" s="1243"/>
      <c r="D157" s="1243"/>
      <c r="E157" s="1243"/>
      <c r="F157" s="1243"/>
      <c r="G157" s="1244"/>
      <c r="H157" s="417">
        <f>SUMIF(G15:G147,"SB(ES)",H15:H147)</f>
        <v>2669.3</v>
      </c>
      <c r="I157" s="368">
        <f>SUMIF(G15:G147,"SB(ES)",I15:I147)</f>
        <v>1659.3</v>
      </c>
      <c r="J157" s="855">
        <f>SUMIF(G15:G147,"SB(ES)",J15:J147)</f>
        <v>-1010</v>
      </c>
      <c r="K157" s="417">
        <f>SUMIF(G15:G145,"SB(ES)",K15:K145)</f>
        <v>1066.9000000000001</v>
      </c>
      <c r="L157" s="368">
        <f>SUMIF(G15:G145,"SB(ES)",L15:L145)</f>
        <v>2076.9</v>
      </c>
      <c r="M157" s="388">
        <f>SUMIF(G15:G145,"SB(ES)",M15:M145)</f>
        <v>1010</v>
      </c>
      <c r="N157" s="417">
        <f>SUMIF(G18:G145,"SB(ES)",N18:N145)</f>
        <v>160.19999999999999</v>
      </c>
      <c r="O157" s="368">
        <f>SUMIF(G18:G145,"SB(ES)",O18:O145)</f>
        <v>160.19999999999999</v>
      </c>
      <c r="P157" s="388">
        <f>SUMIF(G18:G145,"SB(ES)",P18:P145)</f>
        <v>0</v>
      </c>
      <c r="Q157" s="546"/>
      <c r="R157" s="1"/>
      <c r="S157" s="1"/>
      <c r="T157" s="1"/>
      <c r="U157" s="1"/>
    </row>
    <row r="158" spans="1:31" s="257" customFormat="1" ht="27.75" customHeight="1" x14ac:dyDescent="0.25">
      <c r="A158" s="1227" t="s">
        <v>74</v>
      </c>
      <c r="B158" s="1228"/>
      <c r="C158" s="1228"/>
      <c r="D158" s="1228"/>
      <c r="E158" s="1228"/>
      <c r="F158" s="1228"/>
      <c r="G158" s="1229"/>
      <c r="H158" s="415">
        <f>SUMIF(G15:G145,"SB(AAL)",H15:H145)</f>
        <v>382</v>
      </c>
      <c r="I158" s="370">
        <f>SUMIF(G15:G145,"SB(AAL)",I15:I145)</f>
        <v>386</v>
      </c>
      <c r="J158" s="857">
        <f>SUMIF(G15:G145,"SB(AAL)",J15:J145)</f>
        <v>4</v>
      </c>
      <c r="K158" s="415">
        <f>SUMIF(G17:G145,"SB(AAL)",K17:K145)</f>
        <v>15</v>
      </c>
      <c r="L158" s="370">
        <f>SUMIF(G17:G145,"SB(AAL)",L17:L145)</f>
        <v>15</v>
      </c>
      <c r="M158" s="386">
        <f>SUMIF(G17:G145,"SB(AAL)",M17:M145)</f>
        <v>0</v>
      </c>
      <c r="N158" s="415">
        <f>SUMIF(G17:G145,"SB(AAL)",N17:N145)</f>
        <v>0</v>
      </c>
      <c r="O158" s="370">
        <f>SUMIF(G17:G145,"SB(AAL)",O17:O145)</f>
        <v>0</v>
      </c>
      <c r="P158" s="386">
        <f>SUMIF(G17:G145,"SB(AAL)",P17:P145)</f>
        <v>0</v>
      </c>
      <c r="Q158" s="39"/>
      <c r="R158" s="1"/>
      <c r="S158" s="1"/>
      <c r="T158" s="1"/>
      <c r="U158" s="1"/>
    </row>
    <row r="159" spans="1:31" s="257" customFormat="1" ht="25.5" customHeight="1" x14ac:dyDescent="0.25">
      <c r="A159" s="1227" t="s">
        <v>196</v>
      </c>
      <c r="B159" s="1228"/>
      <c r="C159" s="1228"/>
      <c r="D159" s="1228"/>
      <c r="E159" s="1228"/>
      <c r="F159" s="1228"/>
      <c r="G159" s="1229"/>
      <c r="H159" s="415">
        <f>SUMIF(G15:G145,"SB(ESL)",H15:H145)</f>
        <v>212.2</v>
      </c>
      <c r="I159" s="370">
        <f>SUMIF(G15:G145,"SB(ESL)",I15:I145)</f>
        <v>212.2</v>
      </c>
      <c r="J159" s="857">
        <f>SUMIF(G15:G145,"SB(ESL)",J15:J145)</f>
        <v>0</v>
      </c>
      <c r="K159" s="415">
        <f>SUMIF(E17:E145,"SB(ESl)",K17:K145)</f>
        <v>0</v>
      </c>
      <c r="L159" s="370">
        <f>SUMIF(G17:G145,"SB(ESl)",L17:L145)</f>
        <v>0</v>
      </c>
      <c r="M159" s="386">
        <f>SUMIF(G17:G145,"SB(ESl)",M17:M145)</f>
        <v>0</v>
      </c>
      <c r="N159" s="415">
        <f>SUMIF(G17:G145,"SB(ESL)",N17:N145)</f>
        <v>0</v>
      </c>
      <c r="O159" s="370">
        <f>SUMIF(G17:G145,"SB(ESL)",O17:O145)</f>
        <v>0</v>
      </c>
      <c r="P159" s="386">
        <f>SUMIF(G17:G145,"SB(ESL)",P17:P145)</f>
        <v>0</v>
      </c>
      <c r="Q159" s="39"/>
      <c r="R159" s="1"/>
      <c r="S159" s="1"/>
      <c r="T159" s="1"/>
      <c r="U159" s="1"/>
    </row>
    <row r="160" spans="1:31" s="257" customFormat="1" x14ac:dyDescent="0.25">
      <c r="A160" s="1227" t="s">
        <v>138</v>
      </c>
      <c r="B160" s="1228"/>
      <c r="C160" s="1228"/>
      <c r="D160" s="1228"/>
      <c r="E160" s="1228"/>
      <c r="F160" s="1228"/>
      <c r="G160" s="1229"/>
      <c r="H160" s="415">
        <f>SUMIF(G14:G146,"SB(VRL)",H14:H146)</f>
        <v>1235.5</v>
      </c>
      <c r="I160" s="370">
        <f>SUMIF(G14:G146,"SB(VRL)",I14:I146)</f>
        <v>1235.5</v>
      </c>
      <c r="J160" s="857">
        <f>SUMIF(G14:G146,"SB(VRL)",J14:J146)</f>
        <v>0</v>
      </c>
      <c r="K160" s="415">
        <f>SUMIF(G14:G145,"SB(VRL)",K14:K145)</f>
        <v>424.1</v>
      </c>
      <c r="L160" s="370">
        <f>SUMIF(G14:G145,"SB(VRL)",L14:L145)</f>
        <v>424.1</v>
      </c>
      <c r="M160" s="857">
        <f>SUMIF(G14:G145,"SB(VRL)",M14:M145)</f>
        <v>0</v>
      </c>
      <c r="N160" s="415">
        <f>SUMIF(G14:G145,"SB(VRL)",N14:N145)</f>
        <v>428.6</v>
      </c>
      <c r="O160" s="370">
        <f>SUMIF(G14:G145,"SB(VRL)",O14:O145)</f>
        <v>428.6</v>
      </c>
      <c r="P160" s="386">
        <f>SUMIF(G14:G145,"SB(VRL)",P14:P145)</f>
        <v>0</v>
      </c>
      <c r="Q160" s="39"/>
      <c r="R160" s="1"/>
      <c r="S160" s="1"/>
      <c r="T160" s="1"/>
      <c r="U160" s="1"/>
    </row>
    <row r="161" spans="1:21" s="257" customFormat="1" x14ac:dyDescent="0.25">
      <c r="A161" s="1227" t="s">
        <v>107</v>
      </c>
      <c r="B161" s="1228"/>
      <c r="C161" s="1228"/>
      <c r="D161" s="1228"/>
      <c r="E161" s="1228"/>
      <c r="F161" s="1228"/>
      <c r="G161" s="1229"/>
      <c r="H161" s="415">
        <f>SUMIF(G17:G146,"SB(L)",H17:H146)</f>
        <v>470</v>
      </c>
      <c r="I161" s="370">
        <f>SUMIF(G17:G146,"SB(L)",I17:I146)</f>
        <v>470</v>
      </c>
      <c r="J161" s="857">
        <f>SUMIF(G17:G146,"SB(L)",J17:J146)</f>
        <v>0</v>
      </c>
      <c r="K161" s="415">
        <f>SUMIF(G18:G146,"SB(L)",K18:K146)</f>
        <v>0</v>
      </c>
      <c r="L161" s="370">
        <f>SUMIF(G18:G146,"SB(L)",L18:L146)</f>
        <v>0</v>
      </c>
      <c r="M161" s="386">
        <f>SUMIF(G18:G146,"SB(L)",M18:M146)</f>
        <v>0</v>
      </c>
      <c r="N161" s="415">
        <f>SUMIF(G18:G146,"SB(L)",N18:N146)</f>
        <v>0</v>
      </c>
      <c r="O161" s="370">
        <f>SUMIF(G18:G146,"SB(L)",O18:O146)</f>
        <v>0</v>
      </c>
      <c r="P161" s="386">
        <f>SUMIF(G18:G146,"SB(L)",P18:P146)</f>
        <v>0</v>
      </c>
      <c r="Q161" s="39"/>
      <c r="R161" s="1"/>
      <c r="S161" s="1"/>
      <c r="T161" s="1"/>
      <c r="U161" s="1"/>
    </row>
    <row r="162" spans="1:21" s="257" customFormat="1" x14ac:dyDescent="0.25">
      <c r="A162" s="1230" t="s">
        <v>76</v>
      </c>
      <c r="B162" s="1231"/>
      <c r="C162" s="1231"/>
      <c r="D162" s="1231"/>
      <c r="E162" s="1231"/>
      <c r="F162" s="1231"/>
      <c r="G162" s="1232"/>
      <c r="H162" s="416">
        <f t="shared" ref="H162:P162" si="50">SUM(H163:H165)</f>
        <v>88.7</v>
      </c>
      <c r="I162" s="371">
        <f t="shared" si="50"/>
        <v>88.7</v>
      </c>
      <c r="J162" s="858">
        <f t="shared" si="50"/>
        <v>0</v>
      </c>
      <c r="K162" s="416">
        <f t="shared" si="50"/>
        <v>22</v>
      </c>
      <c r="L162" s="371">
        <f t="shared" si="50"/>
        <v>22</v>
      </c>
      <c r="M162" s="387">
        <f t="shared" si="50"/>
        <v>0</v>
      </c>
      <c r="N162" s="416">
        <f t="shared" si="50"/>
        <v>0</v>
      </c>
      <c r="O162" s="371">
        <f t="shared" si="50"/>
        <v>0</v>
      </c>
      <c r="P162" s="387">
        <f t="shared" si="50"/>
        <v>0</v>
      </c>
      <c r="Q162" s="39"/>
      <c r="R162" s="1"/>
      <c r="S162" s="1"/>
      <c r="T162" s="1"/>
      <c r="U162" s="1"/>
    </row>
    <row r="163" spans="1:21" s="257" customFormat="1" x14ac:dyDescent="0.25">
      <c r="A163" s="1233" t="s">
        <v>77</v>
      </c>
      <c r="B163" s="1234"/>
      <c r="C163" s="1234"/>
      <c r="D163" s="1234"/>
      <c r="E163" s="1234"/>
      <c r="F163" s="1234"/>
      <c r="G163" s="1235"/>
      <c r="H163" s="417">
        <f>SUMIF(G15:G145,"ES",H15:H145)</f>
        <v>0</v>
      </c>
      <c r="I163" s="368">
        <f>SUMIF(G15:G145,"ES",I15:I145)</f>
        <v>0</v>
      </c>
      <c r="J163" s="855">
        <f>SUMIF(G15:G145,"ES",J15:J145)</f>
        <v>0</v>
      </c>
      <c r="K163" s="417">
        <f>SUMIF(G15:G145,"ES",K15:K145)</f>
        <v>0</v>
      </c>
      <c r="L163" s="368">
        <f>SUMIF(G15:G145,"ES",L15:L145)</f>
        <v>0</v>
      </c>
      <c r="M163" s="388">
        <f>SUMIF(G15:G145,"ES",M15:M145)</f>
        <v>0</v>
      </c>
      <c r="N163" s="417">
        <f>SUMIF(G15:G145,"ES",N15:N145)</f>
        <v>0</v>
      </c>
      <c r="O163" s="368">
        <f>SUMIF(G15:G145,"ES",O15:O145)</f>
        <v>0</v>
      </c>
      <c r="P163" s="388">
        <f>SUMIF(G15:G145,"ES",P15:P145)</f>
        <v>0</v>
      </c>
      <c r="Q163" s="39"/>
      <c r="R163" s="1"/>
      <c r="S163" s="1"/>
      <c r="T163" s="1"/>
      <c r="U163" s="1"/>
    </row>
    <row r="164" spans="1:21" s="257" customFormat="1" x14ac:dyDescent="0.25">
      <c r="A164" s="1236" t="s">
        <v>78</v>
      </c>
      <c r="B164" s="1237"/>
      <c r="C164" s="1237"/>
      <c r="D164" s="1237"/>
      <c r="E164" s="1237"/>
      <c r="F164" s="1237"/>
      <c r="G164" s="1238"/>
      <c r="H164" s="417">
        <f>SUMIF(G15:G145,"LRVB",H15:H145)</f>
        <v>0</v>
      </c>
      <c r="I164" s="368">
        <f>SUMIF(G15:G145,"LRVB",I15:I145)</f>
        <v>0</v>
      </c>
      <c r="J164" s="855">
        <f>SUMIF(G15:G145,"LRVB",J15:J145)</f>
        <v>0</v>
      </c>
      <c r="K164" s="417">
        <f>SUMIF(G17:G145,"LRVB",K17:K145)</f>
        <v>0</v>
      </c>
      <c r="L164" s="368">
        <f>SUMIF(G17:G145,"LRVB",L17:L145)</f>
        <v>0</v>
      </c>
      <c r="M164" s="388">
        <f>SUMIF(G17:G145,"LRVB",M17:M145)</f>
        <v>0</v>
      </c>
      <c r="N164" s="417">
        <f>SUMIF(G17:G145,"LRVB",N17:N145)</f>
        <v>0</v>
      </c>
      <c r="O164" s="368">
        <f>SUMIF(G17:G145,"LRVB",O17:O145)</f>
        <v>0</v>
      </c>
      <c r="P164" s="388">
        <f>SUMIF(G17:G145,"LRVB",P17:P145)</f>
        <v>0</v>
      </c>
      <c r="Q164" s="39"/>
      <c r="R164" s="1"/>
      <c r="S164" s="1"/>
      <c r="T164" s="1"/>
      <c r="U164" s="1"/>
    </row>
    <row r="165" spans="1:21" s="257" customFormat="1" x14ac:dyDescent="0.25">
      <c r="A165" s="1236" t="s">
        <v>79</v>
      </c>
      <c r="B165" s="1237"/>
      <c r="C165" s="1237"/>
      <c r="D165" s="1237"/>
      <c r="E165" s="1237"/>
      <c r="F165" s="1237"/>
      <c r="G165" s="1238"/>
      <c r="H165" s="417">
        <f>SUMIF(G15:G145,"Kt",H15:H145)</f>
        <v>88.7</v>
      </c>
      <c r="I165" s="368">
        <f>SUMIF(G15:G145,"Kt",I15:I145)</f>
        <v>88.7</v>
      </c>
      <c r="J165" s="855">
        <f>SUMIF(G15:G145,"Kt",J15:J145)</f>
        <v>0</v>
      </c>
      <c r="K165" s="417">
        <f>SUMIF(G15:G145,"Kt",K15:K145)</f>
        <v>22</v>
      </c>
      <c r="L165" s="368">
        <f>SUMIF(G15:G145,"Kt",L15:L145)</f>
        <v>22</v>
      </c>
      <c r="M165" s="388">
        <f>SUMIF(G15:G145,"Kt",M15:M145)</f>
        <v>0</v>
      </c>
      <c r="N165" s="417">
        <f>SUMIF(G15:G145,"Kt",N15:N145)</f>
        <v>0</v>
      </c>
      <c r="O165" s="368">
        <f>SUMIF(G15:G145,"Kt",O15:O145)</f>
        <v>0</v>
      </c>
      <c r="P165" s="388">
        <f>SUMIF(G15:G145,"Kt",P15:P145)</f>
        <v>0</v>
      </c>
      <c r="Q165" s="39"/>
      <c r="R165" s="1"/>
      <c r="S165" s="1"/>
      <c r="T165" s="1"/>
      <c r="U165" s="1"/>
    </row>
    <row r="166" spans="1:21" s="257" customFormat="1" ht="13.5" thickBot="1" x14ac:dyDescent="0.3">
      <c r="A166" s="1239" t="s">
        <v>80</v>
      </c>
      <c r="B166" s="1240"/>
      <c r="C166" s="1240"/>
      <c r="D166" s="1240"/>
      <c r="E166" s="1240"/>
      <c r="F166" s="1240"/>
      <c r="G166" s="1241"/>
      <c r="H166" s="420">
        <f t="shared" ref="H166:P166" si="51">SUM(H150,H162)</f>
        <v>10837.2</v>
      </c>
      <c r="I166" s="372">
        <f t="shared" si="51"/>
        <v>9803.2000000000007</v>
      </c>
      <c r="J166" s="389">
        <f t="shared" si="51"/>
        <v>-1034</v>
      </c>
      <c r="K166" s="420">
        <f t="shared" si="51"/>
        <v>8276.9</v>
      </c>
      <c r="L166" s="372">
        <f t="shared" si="51"/>
        <v>9314.9</v>
      </c>
      <c r="M166" s="390">
        <f t="shared" si="51"/>
        <v>1038</v>
      </c>
      <c r="N166" s="420">
        <f t="shared" si="51"/>
        <v>7308.8</v>
      </c>
      <c r="O166" s="372">
        <f t="shared" si="51"/>
        <v>7308.8</v>
      </c>
      <c r="P166" s="390">
        <f t="shared" si="51"/>
        <v>0</v>
      </c>
      <c r="Q166" s="11"/>
    </row>
    <row r="167" spans="1:21" s="257" customFormat="1" x14ac:dyDescent="0.25">
      <c r="A167" s="1"/>
      <c r="B167" s="1"/>
      <c r="C167" s="1"/>
      <c r="D167" s="1"/>
      <c r="E167" s="1"/>
      <c r="F167" s="2"/>
      <c r="G167" s="614"/>
      <c r="H167" s="614"/>
      <c r="I167" s="614"/>
      <c r="J167" s="614"/>
      <c r="K167" s="614"/>
      <c r="L167" s="614"/>
      <c r="M167" s="614"/>
      <c r="N167" s="614"/>
      <c r="O167" s="614"/>
      <c r="P167" s="614"/>
      <c r="Q167" s="39"/>
      <c r="R167" s="1"/>
      <c r="S167" s="1"/>
      <c r="T167" s="1"/>
      <c r="U167" s="1"/>
    </row>
    <row r="168" spans="1:21" x14ac:dyDescent="0.2">
      <c r="E168" s="1000" t="s">
        <v>194</v>
      </c>
      <c r="F168" s="1000"/>
      <c r="G168" s="1000"/>
      <c r="H168" s="1000"/>
      <c r="I168" s="1000"/>
      <c r="J168" s="1000"/>
      <c r="K168" s="1000"/>
      <c r="L168" s="1000"/>
      <c r="M168" s="1000"/>
      <c r="N168" s="1000"/>
      <c r="O168" s="1000"/>
      <c r="P168" s="1000"/>
    </row>
    <row r="169" spans="1:21" x14ac:dyDescent="0.2">
      <c r="H169" s="304"/>
      <c r="I169" s="304"/>
      <c r="J169" s="304"/>
      <c r="K169" s="304"/>
      <c r="L169" s="304"/>
      <c r="M169" s="304"/>
      <c r="N169" s="304"/>
      <c r="O169" s="304"/>
      <c r="P169" s="304"/>
    </row>
    <row r="170" spans="1:21" x14ac:dyDescent="0.2">
      <c r="H170" s="304"/>
      <c r="I170" s="304"/>
      <c r="J170" s="304"/>
      <c r="K170" s="304"/>
      <c r="L170" s="304"/>
      <c r="M170" s="304"/>
      <c r="N170" s="304"/>
      <c r="O170" s="304"/>
      <c r="P170" s="304"/>
    </row>
    <row r="171" spans="1:21" x14ac:dyDescent="0.2">
      <c r="H171" s="304"/>
      <c r="I171" s="304"/>
      <c r="J171" s="304"/>
      <c r="K171" s="304"/>
      <c r="L171" s="304"/>
      <c r="M171" s="304"/>
      <c r="N171" s="304"/>
      <c r="O171" s="304"/>
      <c r="P171" s="304"/>
    </row>
    <row r="172" spans="1:21" x14ac:dyDescent="0.2">
      <c r="K172" s="304"/>
      <c r="L172" s="304"/>
      <c r="M172" s="304"/>
      <c r="N172" s="304"/>
      <c r="O172" s="304"/>
      <c r="P172" s="304"/>
    </row>
  </sheetData>
  <mergeCells count="183">
    <mergeCell ref="U92:U94"/>
    <mergeCell ref="U31:U33"/>
    <mergeCell ref="U78:U80"/>
    <mergeCell ref="U81:U83"/>
    <mergeCell ref="U125:U126"/>
    <mergeCell ref="U99:U103"/>
    <mergeCell ref="U137:U142"/>
    <mergeCell ref="A146:P146"/>
    <mergeCell ref="A148:G148"/>
    <mergeCell ref="C55:U55"/>
    <mergeCell ref="E59:E61"/>
    <mergeCell ref="D63:D64"/>
    <mergeCell ref="D67:D70"/>
    <mergeCell ref="F125:F126"/>
    <mergeCell ref="A122:A124"/>
    <mergeCell ref="B122:B124"/>
    <mergeCell ref="C122:C124"/>
    <mergeCell ref="D122:D124"/>
    <mergeCell ref="E122:E124"/>
    <mergeCell ref="F122:F124"/>
    <mergeCell ref="D78:D80"/>
    <mergeCell ref="E79:E80"/>
    <mergeCell ref="Q79:Q80"/>
    <mergeCell ref="D89:D91"/>
    <mergeCell ref="D127:D129"/>
    <mergeCell ref="C131:G131"/>
    <mergeCell ref="Q131:U131"/>
    <mergeCell ref="C132:U132"/>
    <mergeCell ref="D133:D135"/>
    <mergeCell ref="Q133:Q135"/>
    <mergeCell ref="Q122:Q124"/>
    <mergeCell ref="A125:A126"/>
    <mergeCell ref="B125:B126"/>
    <mergeCell ref="C125:C126"/>
    <mergeCell ref="D125:D126"/>
    <mergeCell ref="E125:E126"/>
    <mergeCell ref="A85:A98"/>
    <mergeCell ref="B85:B98"/>
    <mergeCell ref="C85:C98"/>
    <mergeCell ref="D85:D88"/>
    <mergeCell ref="F85:F88"/>
    <mergeCell ref="E86:E88"/>
    <mergeCell ref="Q87:Q88"/>
    <mergeCell ref="D92:D94"/>
    <mergeCell ref="Q92:Q94"/>
    <mergeCell ref="E93:E94"/>
    <mergeCell ref="F89:F91"/>
    <mergeCell ref="Q89:Q90"/>
    <mergeCell ref="E90:E91"/>
    <mergeCell ref="A152:G152"/>
    <mergeCell ref="Q138:Q139"/>
    <mergeCell ref="C143:G143"/>
    <mergeCell ref="Q143:U143"/>
    <mergeCell ref="B144:G144"/>
    <mergeCell ref="Q144:U144"/>
    <mergeCell ref="B145:G145"/>
    <mergeCell ref="Q145:U145"/>
    <mergeCell ref="A137:A142"/>
    <mergeCell ref="B137:B142"/>
    <mergeCell ref="C137:C142"/>
    <mergeCell ref="D137:D142"/>
    <mergeCell ref="E137:E142"/>
    <mergeCell ref="F137:F142"/>
    <mergeCell ref="A150:G150"/>
    <mergeCell ref="A151:G151"/>
    <mergeCell ref="A149:G149"/>
    <mergeCell ref="E168:P168"/>
    <mergeCell ref="A158:G158"/>
    <mergeCell ref="A159:G159"/>
    <mergeCell ref="A160:G160"/>
    <mergeCell ref="A161:G161"/>
    <mergeCell ref="A162:G162"/>
    <mergeCell ref="A153:G153"/>
    <mergeCell ref="A154:G154"/>
    <mergeCell ref="A155:G155"/>
    <mergeCell ref="A156:G156"/>
    <mergeCell ref="A157:G157"/>
    <mergeCell ref="A163:G163"/>
    <mergeCell ref="A164:G164"/>
    <mergeCell ref="A165:G165"/>
    <mergeCell ref="A166:G166"/>
    <mergeCell ref="V107:V108"/>
    <mergeCell ref="D110:D112"/>
    <mergeCell ref="Q111:Q112"/>
    <mergeCell ref="D113:D114"/>
    <mergeCell ref="D115:D116"/>
    <mergeCell ref="D95:D97"/>
    <mergeCell ref="Q95:Q97"/>
    <mergeCell ref="E96:E97"/>
    <mergeCell ref="D99:D103"/>
    <mergeCell ref="E99:E103"/>
    <mergeCell ref="D104:D106"/>
    <mergeCell ref="E104:E106"/>
    <mergeCell ref="Q104:Q106"/>
    <mergeCell ref="U95:U97"/>
    <mergeCell ref="D107:D109"/>
    <mergeCell ref="D81:D84"/>
    <mergeCell ref="E81:E84"/>
    <mergeCell ref="Q81:Q82"/>
    <mergeCell ref="U72:U76"/>
    <mergeCell ref="U65:U66"/>
    <mergeCell ref="E47:E49"/>
    <mergeCell ref="Q47:Q48"/>
    <mergeCell ref="D51:D52"/>
    <mergeCell ref="Q51:Q52"/>
    <mergeCell ref="C54:G54"/>
    <mergeCell ref="Q54:U54"/>
    <mergeCell ref="C40:G40"/>
    <mergeCell ref="C41:U41"/>
    <mergeCell ref="A42:A46"/>
    <mergeCell ref="B42:B46"/>
    <mergeCell ref="C42:C46"/>
    <mergeCell ref="D42:D44"/>
    <mergeCell ref="F42:F46"/>
    <mergeCell ref="D45:D46"/>
    <mergeCell ref="E45:E46"/>
    <mergeCell ref="Q34:Q35"/>
    <mergeCell ref="A37:A39"/>
    <mergeCell ref="B37:B39"/>
    <mergeCell ref="C37:C39"/>
    <mergeCell ref="D37:D39"/>
    <mergeCell ref="E37:E38"/>
    <mergeCell ref="F37:F39"/>
    <mergeCell ref="A34:A36"/>
    <mergeCell ref="B34:B36"/>
    <mergeCell ref="C34:C36"/>
    <mergeCell ref="D34:D35"/>
    <mergeCell ref="E34:E35"/>
    <mergeCell ref="F34:F36"/>
    <mergeCell ref="A31:A33"/>
    <mergeCell ref="B31:B33"/>
    <mergeCell ref="C31:C33"/>
    <mergeCell ref="D31:D32"/>
    <mergeCell ref="F31:F33"/>
    <mergeCell ref="E32:E33"/>
    <mergeCell ref="A28:A30"/>
    <mergeCell ref="B28:B30"/>
    <mergeCell ref="C28:C30"/>
    <mergeCell ref="D28:D30"/>
    <mergeCell ref="E28:E30"/>
    <mergeCell ref="F28:F30"/>
    <mergeCell ref="Q19:Q20"/>
    <mergeCell ref="D21:D22"/>
    <mergeCell ref="A23:A25"/>
    <mergeCell ref="B23:B25"/>
    <mergeCell ref="C23:C25"/>
    <mergeCell ref="D23:D24"/>
    <mergeCell ref="E23:E25"/>
    <mergeCell ref="F23:F25"/>
    <mergeCell ref="A11:U11"/>
    <mergeCell ref="A12:U12"/>
    <mergeCell ref="B13:U13"/>
    <mergeCell ref="C14:U14"/>
    <mergeCell ref="D15:D16"/>
    <mergeCell ref="E15:E20"/>
    <mergeCell ref="F15:F20"/>
    <mergeCell ref="D17:D18"/>
    <mergeCell ref="Q17:Q18"/>
    <mergeCell ref="D19:D20"/>
    <mergeCell ref="Q3:U3"/>
    <mergeCell ref="A4:U4"/>
    <mergeCell ref="A5:U5"/>
    <mergeCell ref="A6:U6"/>
    <mergeCell ref="Q7:U7"/>
    <mergeCell ref="G8:G10"/>
    <mergeCell ref="J8:J10"/>
    <mergeCell ref="M8:M10"/>
    <mergeCell ref="P8:P10"/>
    <mergeCell ref="Q9:Q10"/>
    <mergeCell ref="I8:I10"/>
    <mergeCell ref="H8:H10"/>
    <mergeCell ref="L8:L10"/>
    <mergeCell ref="A8:A10"/>
    <mergeCell ref="B8:B10"/>
    <mergeCell ref="C8:C10"/>
    <mergeCell ref="D8:D10"/>
    <mergeCell ref="E8:E10"/>
    <mergeCell ref="F8:F10"/>
    <mergeCell ref="K8:K10"/>
    <mergeCell ref="O8:O10"/>
    <mergeCell ref="N8:N10"/>
    <mergeCell ref="Q8:T8"/>
    <mergeCell ref="R9:T9"/>
  </mergeCells>
  <printOptions horizontalCentered="1"/>
  <pageMargins left="0.19685039370078741" right="0.19685039370078741" top="0.39370078740157483" bottom="0.19685039370078741" header="0.31496062992125984" footer="0.31496062992125984"/>
  <pageSetup paperSize="9" scale="63" orientation="landscape" r:id="rId1"/>
  <rowBreaks count="3" manualBreakCount="3">
    <brk id="44" max="20" man="1"/>
    <brk id="80" max="20" man="1"/>
    <brk id="14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2"/>
  <sheetViews>
    <sheetView view="pageBreakPreview" topLeftCell="A19" zoomScaleNormal="100" zoomScaleSheetLayoutView="100" workbookViewId="0">
      <selection activeCell="U6" sqref="U6"/>
    </sheetView>
  </sheetViews>
  <sheetFormatPr defaultColWidth="9.140625" defaultRowHeight="12.75" x14ac:dyDescent="0.2"/>
  <cols>
    <col min="1" max="1" width="2.85546875" style="305" customWidth="1"/>
    <col min="2" max="2" width="3.140625" style="305" customWidth="1"/>
    <col min="3" max="3" width="2.85546875" style="305" customWidth="1"/>
    <col min="4" max="4" width="3.140625" style="305" customWidth="1"/>
    <col min="5" max="5" width="32.85546875" style="305" customWidth="1"/>
    <col min="6" max="6" width="3.7109375" style="305" customWidth="1"/>
    <col min="7" max="7" width="3.85546875" style="305" customWidth="1"/>
    <col min="8" max="8" width="11.5703125" style="305" customWidth="1"/>
    <col min="9" max="9" width="8.5703125" style="305" customWidth="1"/>
    <col min="10" max="10" width="8.85546875" style="305" customWidth="1"/>
    <col min="11" max="12" width="9.140625" style="305" customWidth="1"/>
    <col min="13" max="13" width="9.140625" style="305" hidden="1" customWidth="1"/>
    <col min="14" max="14" width="34" style="305" customWidth="1"/>
    <col min="15" max="15" width="4.7109375" style="305" customWidth="1"/>
    <col min="16" max="17" width="4.42578125" style="305" customWidth="1"/>
    <col min="18" max="18" width="0.140625" style="305" hidden="1" customWidth="1"/>
    <col min="19" max="19" width="9.85546875" style="304" customWidth="1"/>
    <col min="20" max="24" width="9.140625" style="304"/>
    <col min="25" max="16384" width="9.140625" style="305"/>
  </cols>
  <sheetData>
    <row r="1" spans="1:24" ht="14.25" customHeight="1" x14ac:dyDescent="0.25">
      <c r="N1" s="1004" t="s">
        <v>92</v>
      </c>
      <c r="O1" s="1005"/>
      <c r="P1" s="1005"/>
      <c r="Q1" s="1005"/>
      <c r="R1" s="1005"/>
    </row>
    <row r="2" spans="1:24" s="257" customFormat="1" ht="15.75" x14ac:dyDescent="0.25">
      <c r="A2" s="1006" t="s">
        <v>206</v>
      </c>
      <c r="B2" s="1006"/>
      <c r="C2" s="1006"/>
      <c r="D2" s="1006"/>
      <c r="E2" s="1006"/>
      <c r="F2" s="1006"/>
      <c r="G2" s="1006"/>
      <c r="H2" s="1006"/>
      <c r="I2" s="1006"/>
      <c r="J2" s="1006"/>
      <c r="K2" s="1006"/>
      <c r="L2" s="1006"/>
      <c r="M2" s="1006"/>
      <c r="N2" s="1006"/>
      <c r="O2" s="1006"/>
      <c r="P2" s="1006"/>
      <c r="Q2" s="1006"/>
      <c r="R2" s="1006"/>
      <c r="S2" s="229"/>
      <c r="T2" s="229"/>
      <c r="U2" s="229"/>
      <c r="V2" s="229"/>
      <c r="W2" s="229"/>
      <c r="X2" s="229"/>
    </row>
    <row r="3" spans="1:24" s="257" customFormat="1" ht="15.75" x14ac:dyDescent="0.25">
      <c r="A3" s="1007" t="s">
        <v>0</v>
      </c>
      <c r="B3" s="1007"/>
      <c r="C3" s="1007"/>
      <c r="D3" s="1007"/>
      <c r="E3" s="1007"/>
      <c r="F3" s="1007"/>
      <c r="G3" s="1007"/>
      <c r="H3" s="1007"/>
      <c r="I3" s="1007"/>
      <c r="J3" s="1007"/>
      <c r="K3" s="1007"/>
      <c r="L3" s="1007"/>
      <c r="M3" s="1007"/>
      <c r="N3" s="1007"/>
      <c r="O3" s="1007"/>
      <c r="P3" s="1007"/>
      <c r="Q3" s="1007"/>
      <c r="R3" s="1007"/>
      <c r="S3" s="229"/>
      <c r="T3" s="229"/>
      <c r="U3" s="229"/>
      <c r="V3" s="229"/>
      <c r="W3" s="229"/>
      <c r="X3" s="229"/>
    </row>
    <row r="4" spans="1:24" s="257" customFormat="1" ht="15.75" x14ac:dyDescent="0.25">
      <c r="A4" s="1008" t="s">
        <v>1</v>
      </c>
      <c r="B4" s="1008"/>
      <c r="C4" s="1008"/>
      <c r="D4" s="1008"/>
      <c r="E4" s="1008"/>
      <c r="F4" s="1008"/>
      <c r="G4" s="1008"/>
      <c r="H4" s="1008"/>
      <c r="I4" s="1008"/>
      <c r="J4" s="1008"/>
      <c r="K4" s="1008"/>
      <c r="L4" s="1008"/>
      <c r="M4" s="1008"/>
      <c r="N4" s="1008"/>
      <c r="O4" s="1008"/>
      <c r="P4" s="1008"/>
      <c r="Q4" s="1008"/>
      <c r="R4" s="1008"/>
      <c r="S4" s="229"/>
      <c r="T4" s="229"/>
      <c r="U4" s="229"/>
      <c r="V4" s="229"/>
      <c r="W4" s="229"/>
      <c r="X4" s="229"/>
    </row>
    <row r="5" spans="1:24" s="257" customFormat="1" ht="13.5" thickBot="1" x14ac:dyDescent="0.3">
      <c r="A5" s="1"/>
      <c r="B5" s="1"/>
      <c r="C5" s="1"/>
      <c r="D5" s="1"/>
      <c r="E5" s="1"/>
      <c r="F5" s="1"/>
      <c r="G5" s="2"/>
      <c r="H5" s="2"/>
      <c r="I5" s="172"/>
      <c r="J5" s="172"/>
      <c r="K5" s="172"/>
      <c r="L5" s="172"/>
      <c r="M5" s="172"/>
      <c r="N5" s="1009" t="s">
        <v>81</v>
      </c>
      <c r="O5" s="1009"/>
      <c r="P5" s="1009"/>
      <c r="Q5" s="1009"/>
      <c r="R5" s="1010"/>
      <c r="S5" s="229"/>
      <c r="T5" s="229"/>
      <c r="U5" s="229"/>
      <c r="V5" s="229"/>
      <c r="W5" s="229"/>
      <c r="X5" s="229"/>
    </row>
    <row r="6" spans="1:24" s="257" customFormat="1" ht="50.25" customHeight="1" x14ac:dyDescent="0.25">
      <c r="A6" s="1011" t="s">
        <v>2</v>
      </c>
      <c r="B6" s="1014" t="s">
        <v>3</v>
      </c>
      <c r="C6" s="1014" t="s">
        <v>4</v>
      </c>
      <c r="D6" s="1014" t="s">
        <v>5</v>
      </c>
      <c r="E6" s="1017" t="s">
        <v>6</v>
      </c>
      <c r="F6" s="1033" t="s">
        <v>7</v>
      </c>
      <c r="G6" s="1036" t="s">
        <v>8</v>
      </c>
      <c r="H6" s="1329" t="s">
        <v>9</v>
      </c>
      <c r="I6" s="1039" t="s">
        <v>10</v>
      </c>
      <c r="J6" s="1020" t="s">
        <v>159</v>
      </c>
      <c r="K6" s="1020" t="s">
        <v>207</v>
      </c>
      <c r="L6" s="1020" t="s">
        <v>154</v>
      </c>
      <c r="M6" s="1020" t="s">
        <v>208</v>
      </c>
      <c r="N6" s="1023" t="s">
        <v>11</v>
      </c>
      <c r="O6" s="1024"/>
      <c r="P6" s="1024"/>
      <c r="Q6" s="1024"/>
      <c r="R6" s="1025"/>
      <c r="S6" s="229"/>
      <c r="T6" s="229"/>
      <c r="U6" s="229"/>
      <c r="V6" s="229"/>
      <c r="W6" s="229"/>
      <c r="X6" s="229"/>
    </row>
    <row r="7" spans="1:24" s="257" customFormat="1" ht="18.75" customHeight="1" x14ac:dyDescent="0.25">
      <c r="A7" s="1012"/>
      <c r="B7" s="1015"/>
      <c r="C7" s="1015"/>
      <c r="D7" s="1015"/>
      <c r="E7" s="1018"/>
      <c r="F7" s="1034"/>
      <c r="G7" s="1037"/>
      <c r="H7" s="1330"/>
      <c r="I7" s="1040"/>
      <c r="J7" s="1021"/>
      <c r="K7" s="1021"/>
      <c r="L7" s="1021"/>
      <c r="M7" s="1021"/>
      <c r="N7" s="1026" t="s">
        <v>6</v>
      </c>
      <c r="O7" s="1028"/>
      <c r="P7" s="1028"/>
      <c r="Q7" s="1028"/>
      <c r="R7" s="1029"/>
      <c r="S7" s="229"/>
      <c r="T7" s="229"/>
      <c r="U7" s="229"/>
      <c r="V7" s="229"/>
      <c r="W7" s="229"/>
      <c r="X7" s="229"/>
    </row>
    <row r="8" spans="1:24" s="257" customFormat="1" ht="49.5" customHeight="1" thickBot="1" x14ac:dyDescent="0.3">
      <c r="A8" s="1013"/>
      <c r="B8" s="1016"/>
      <c r="C8" s="1016"/>
      <c r="D8" s="1016"/>
      <c r="E8" s="1019"/>
      <c r="F8" s="1035"/>
      <c r="G8" s="1038"/>
      <c r="H8" s="1331"/>
      <c r="I8" s="1041"/>
      <c r="J8" s="1022"/>
      <c r="K8" s="1022"/>
      <c r="L8" s="1022"/>
      <c r="M8" s="1022"/>
      <c r="N8" s="1027"/>
      <c r="O8" s="80" t="s">
        <v>90</v>
      </c>
      <c r="P8" s="80" t="s">
        <v>112</v>
      </c>
      <c r="Q8" s="80" t="s">
        <v>155</v>
      </c>
      <c r="R8" s="81" t="s">
        <v>209</v>
      </c>
      <c r="S8" s="229"/>
      <c r="T8" s="229"/>
      <c r="U8" s="229"/>
      <c r="V8" s="229"/>
      <c r="W8" s="229"/>
      <c r="X8" s="229"/>
    </row>
    <row r="9" spans="1:24" s="3" customFormat="1" ht="13.5" customHeight="1" x14ac:dyDescent="0.2">
      <c r="A9" s="1030" t="s">
        <v>12</v>
      </c>
      <c r="B9" s="1031"/>
      <c r="C9" s="1031"/>
      <c r="D9" s="1031"/>
      <c r="E9" s="1031"/>
      <c r="F9" s="1031"/>
      <c r="G9" s="1031"/>
      <c r="H9" s="1031"/>
      <c r="I9" s="1031"/>
      <c r="J9" s="1031"/>
      <c r="K9" s="1031"/>
      <c r="L9" s="1031"/>
      <c r="M9" s="1031"/>
      <c r="N9" s="1031"/>
      <c r="O9" s="1031"/>
      <c r="P9" s="1031"/>
      <c r="Q9" s="1031"/>
      <c r="R9" s="1032"/>
      <c r="S9" s="761"/>
      <c r="T9" s="761"/>
      <c r="U9" s="761"/>
      <c r="V9" s="761"/>
      <c r="W9" s="761"/>
      <c r="X9" s="761"/>
    </row>
    <row r="10" spans="1:24" s="3" customFormat="1" x14ac:dyDescent="0.2">
      <c r="A10" s="1054" t="s">
        <v>13</v>
      </c>
      <c r="B10" s="1055"/>
      <c r="C10" s="1055"/>
      <c r="D10" s="1055"/>
      <c r="E10" s="1055"/>
      <c r="F10" s="1055"/>
      <c r="G10" s="1055"/>
      <c r="H10" s="1055"/>
      <c r="I10" s="1055"/>
      <c r="J10" s="1055"/>
      <c r="K10" s="1055"/>
      <c r="L10" s="1055"/>
      <c r="M10" s="1055"/>
      <c r="N10" s="1055"/>
      <c r="O10" s="1055"/>
      <c r="P10" s="1055"/>
      <c r="Q10" s="1055"/>
      <c r="R10" s="1056"/>
      <c r="S10" s="761"/>
      <c r="T10" s="761"/>
      <c r="U10" s="761"/>
      <c r="V10" s="761"/>
      <c r="W10" s="761"/>
      <c r="X10" s="761"/>
    </row>
    <row r="11" spans="1:24" s="257" customFormat="1" ht="15" customHeight="1" x14ac:dyDescent="0.25">
      <c r="A11" s="4" t="s">
        <v>14</v>
      </c>
      <c r="B11" s="1057" t="s">
        <v>15</v>
      </c>
      <c r="C11" s="1058"/>
      <c r="D11" s="1058"/>
      <c r="E11" s="1058"/>
      <c r="F11" s="1058"/>
      <c r="G11" s="1058"/>
      <c r="H11" s="1058"/>
      <c r="I11" s="1058"/>
      <c r="J11" s="1058"/>
      <c r="K11" s="1058"/>
      <c r="L11" s="1058"/>
      <c r="M11" s="1058"/>
      <c r="N11" s="1058"/>
      <c r="O11" s="1058"/>
      <c r="P11" s="1058"/>
      <c r="Q11" s="1058"/>
      <c r="R11" s="1059"/>
      <c r="S11" s="229"/>
      <c r="T11" s="229"/>
      <c r="U11" s="229"/>
      <c r="V11" s="229"/>
      <c r="W11" s="229"/>
      <c r="X11" s="229"/>
    </row>
    <row r="12" spans="1:24" s="257" customFormat="1" ht="14.25" customHeight="1" x14ac:dyDescent="0.25">
      <c r="A12" s="5" t="s">
        <v>14</v>
      </c>
      <c r="B12" s="6" t="s">
        <v>14</v>
      </c>
      <c r="C12" s="1060" t="s">
        <v>16</v>
      </c>
      <c r="D12" s="1061"/>
      <c r="E12" s="1061"/>
      <c r="F12" s="1061"/>
      <c r="G12" s="1061"/>
      <c r="H12" s="1061"/>
      <c r="I12" s="1061"/>
      <c r="J12" s="1061"/>
      <c r="K12" s="1061"/>
      <c r="L12" s="1061"/>
      <c r="M12" s="1061"/>
      <c r="N12" s="1061"/>
      <c r="O12" s="1061"/>
      <c r="P12" s="1061"/>
      <c r="Q12" s="1061"/>
      <c r="R12" s="1063"/>
      <c r="S12" s="229"/>
      <c r="T12" s="229"/>
      <c r="U12" s="229"/>
      <c r="V12" s="229"/>
      <c r="W12" s="229"/>
      <c r="X12" s="229"/>
    </row>
    <row r="13" spans="1:24" s="257" customFormat="1" ht="27" customHeight="1" x14ac:dyDescent="0.2">
      <c r="A13" s="7" t="s">
        <v>14</v>
      </c>
      <c r="B13" s="8" t="s">
        <v>14</v>
      </c>
      <c r="C13" s="9" t="s">
        <v>14</v>
      </c>
      <c r="D13" s="9"/>
      <c r="E13" s="41" t="s">
        <v>17</v>
      </c>
      <c r="F13" s="1064" t="s">
        <v>18</v>
      </c>
      <c r="G13" s="1066" t="s">
        <v>20</v>
      </c>
      <c r="H13" s="492"/>
      <c r="I13" s="452"/>
      <c r="J13" s="75"/>
      <c r="K13" s="20"/>
      <c r="L13" s="449"/>
      <c r="M13" s="449"/>
      <c r="N13" s="272"/>
      <c r="O13" s="163"/>
      <c r="P13" s="438"/>
      <c r="Q13" s="961"/>
      <c r="R13" s="440"/>
      <c r="S13" s="229"/>
      <c r="T13" s="229"/>
      <c r="U13" s="229"/>
      <c r="V13" s="229"/>
      <c r="W13" s="229"/>
      <c r="X13" s="229"/>
    </row>
    <row r="14" spans="1:24" s="257" customFormat="1" ht="17.25" customHeight="1" x14ac:dyDescent="0.25">
      <c r="A14" s="7"/>
      <c r="B14" s="8"/>
      <c r="C14" s="9"/>
      <c r="D14" s="9"/>
      <c r="E14" s="1103" t="s">
        <v>21</v>
      </c>
      <c r="F14" s="1064"/>
      <c r="G14" s="1066"/>
      <c r="H14" s="1327" t="s">
        <v>22</v>
      </c>
      <c r="I14" s="453" t="s">
        <v>23</v>
      </c>
      <c r="J14" s="129">
        <v>4737.5</v>
      </c>
      <c r="K14" s="42">
        <v>4733</v>
      </c>
      <c r="L14" s="43">
        <v>4728.5</v>
      </c>
      <c r="M14" s="43">
        <v>4728.5</v>
      </c>
      <c r="N14" s="1045" t="s">
        <v>94</v>
      </c>
      <c r="O14" s="104" t="s">
        <v>114</v>
      </c>
      <c r="P14" s="189" t="s">
        <v>114</v>
      </c>
      <c r="Q14" s="189" t="s">
        <v>114</v>
      </c>
      <c r="R14" s="183" t="s">
        <v>114</v>
      </c>
      <c r="S14" s="229"/>
      <c r="T14" s="229"/>
      <c r="U14" s="229"/>
      <c r="V14" s="229"/>
      <c r="W14" s="229"/>
      <c r="X14" s="229"/>
    </row>
    <row r="15" spans="1:24" s="257" customFormat="1" ht="23.25" customHeight="1" x14ac:dyDescent="0.25">
      <c r="A15" s="7"/>
      <c r="B15" s="8"/>
      <c r="C15" s="9"/>
      <c r="D15" s="9"/>
      <c r="E15" s="1069"/>
      <c r="F15" s="1064"/>
      <c r="G15" s="1066"/>
      <c r="H15" s="1328"/>
      <c r="I15" s="452" t="s">
        <v>24</v>
      </c>
      <c r="J15" s="130">
        <v>419.6</v>
      </c>
      <c r="K15" s="454">
        <v>424.1</v>
      </c>
      <c r="L15" s="130">
        <v>428.6</v>
      </c>
      <c r="M15" s="130">
        <v>428.6</v>
      </c>
      <c r="N15" s="1071"/>
      <c r="O15" s="157"/>
      <c r="P15" s="190"/>
      <c r="Q15" s="190"/>
      <c r="R15" s="184"/>
      <c r="S15" s="229"/>
      <c r="T15" s="229"/>
      <c r="U15" s="229"/>
      <c r="V15" s="229"/>
      <c r="W15" s="229"/>
      <c r="X15" s="229"/>
    </row>
    <row r="16" spans="1:24" s="257" customFormat="1" ht="20.25" customHeight="1" x14ac:dyDescent="0.25">
      <c r="A16" s="7"/>
      <c r="B16" s="8"/>
      <c r="C16" s="9"/>
      <c r="D16" s="9"/>
      <c r="E16" s="1072" t="s">
        <v>25</v>
      </c>
      <c r="F16" s="1064"/>
      <c r="G16" s="1066"/>
      <c r="H16" s="1323" t="s">
        <v>26</v>
      </c>
      <c r="I16" s="453" t="s">
        <v>23</v>
      </c>
      <c r="J16" s="325">
        <v>112.5</v>
      </c>
      <c r="K16" s="324">
        <v>117</v>
      </c>
      <c r="L16" s="323">
        <v>121.5</v>
      </c>
      <c r="M16" s="323">
        <v>121.5</v>
      </c>
      <c r="N16" s="1045" t="s">
        <v>94</v>
      </c>
      <c r="O16" s="104" t="s">
        <v>160</v>
      </c>
      <c r="P16" s="189" t="s">
        <v>161</v>
      </c>
      <c r="Q16" s="189" t="s">
        <v>162</v>
      </c>
      <c r="R16" s="183" t="s">
        <v>162</v>
      </c>
      <c r="S16" s="229"/>
      <c r="T16" s="229"/>
      <c r="U16" s="229"/>
      <c r="V16" s="229"/>
      <c r="W16" s="229"/>
      <c r="X16" s="229"/>
    </row>
    <row r="17" spans="1:24" s="257" customFormat="1" ht="20.25" customHeight="1" x14ac:dyDescent="0.25">
      <c r="A17" s="7"/>
      <c r="B17" s="8"/>
      <c r="C17" s="9"/>
      <c r="D17" s="9"/>
      <c r="E17" s="1072"/>
      <c r="F17" s="1064"/>
      <c r="G17" s="1066"/>
      <c r="H17" s="1323"/>
      <c r="I17" s="455" t="s">
        <v>24</v>
      </c>
      <c r="J17" s="322"/>
      <c r="K17" s="42"/>
      <c r="L17" s="43"/>
      <c r="M17" s="43"/>
      <c r="N17" s="1070"/>
      <c r="O17" s="157"/>
      <c r="P17" s="190"/>
      <c r="Q17" s="190"/>
      <c r="R17" s="184"/>
      <c r="S17" s="229"/>
      <c r="T17" s="229"/>
      <c r="U17" s="229"/>
      <c r="V17" s="229"/>
      <c r="W17" s="229"/>
      <c r="X17" s="229"/>
    </row>
    <row r="18" spans="1:24" s="257" customFormat="1" ht="15" customHeight="1" thickBot="1" x14ac:dyDescent="0.3">
      <c r="A18" s="12"/>
      <c r="B18" s="13"/>
      <c r="C18" s="150"/>
      <c r="D18" s="150"/>
      <c r="E18" s="1073"/>
      <c r="F18" s="1065"/>
      <c r="G18" s="1067"/>
      <c r="H18" s="1324"/>
      <c r="I18" s="288" t="s">
        <v>27</v>
      </c>
      <c r="J18" s="44">
        <f>SUM(J13:J16)</f>
        <v>5269.6</v>
      </c>
      <c r="K18" s="45">
        <f t="shared" ref="K18:M18" si="0">SUM(K13:K16)</f>
        <v>5274.1</v>
      </c>
      <c r="L18" s="44">
        <f t="shared" ref="L18" si="1">SUM(L13:L16)</f>
        <v>5278.6</v>
      </c>
      <c r="M18" s="44">
        <f t="shared" si="0"/>
        <v>5278.6</v>
      </c>
      <c r="N18" s="1046"/>
      <c r="O18" s="89"/>
      <c r="P18" s="191"/>
      <c r="Q18" s="191"/>
      <c r="R18" s="185"/>
      <c r="S18" s="229"/>
      <c r="T18" s="229"/>
      <c r="U18" s="229"/>
      <c r="V18" s="229"/>
      <c r="W18" s="229"/>
      <c r="X18" s="229"/>
    </row>
    <row r="19" spans="1:24" s="257" customFormat="1" ht="37.5" customHeight="1" x14ac:dyDescent="0.25">
      <c r="A19" s="7" t="s">
        <v>14</v>
      </c>
      <c r="B19" s="8" t="s">
        <v>14</v>
      </c>
      <c r="C19" s="151" t="s">
        <v>28</v>
      </c>
      <c r="D19" s="9"/>
      <c r="E19" s="393" t="s">
        <v>29</v>
      </c>
      <c r="F19" s="14" t="s">
        <v>18</v>
      </c>
      <c r="G19" s="495" t="s">
        <v>20</v>
      </c>
      <c r="H19" s="493"/>
      <c r="I19" s="302"/>
      <c r="J19" s="78"/>
      <c r="K19" s="74"/>
      <c r="L19" s="74"/>
      <c r="M19" s="74"/>
      <c r="N19" s="15"/>
      <c r="O19" s="86"/>
      <c r="P19" s="82"/>
      <c r="Q19" s="82"/>
      <c r="R19" s="118"/>
      <c r="S19" s="229"/>
      <c r="T19" s="229"/>
      <c r="U19" s="229"/>
      <c r="V19" s="229"/>
      <c r="W19" s="229"/>
      <c r="X19" s="229"/>
    </row>
    <row r="20" spans="1:24" s="257" customFormat="1" ht="26.25" customHeight="1" x14ac:dyDescent="0.25">
      <c r="A20" s="1047"/>
      <c r="B20" s="1048"/>
      <c r="C20" s="1049"/>
      <c r="D20" s="254"/>
      <c r="E20" s="1050" t="s">
        <v>31</v>
      </c>
      <c r="F20" s="1052"/>
      <c r="G20" s="1053"/>
      <c r="H20" s="1325" t="s">
        <v>32</v>
      </c>
      <c r="I20" s="241" t="s">
        <v>30</v>
      </c>
      <c r="J20" s="71">
        <v>60</v>
      </c>
      <c r="K20" s="46">
        <v>60</v>
      </c>
      <c r="L20" s="46">
        <v>60</v>
      </c>
      <c r="M20" s="46">
        <v>60</v>
      </c>
      <c r="N20" s="16" t="s">
        <v>163</v>
      </c>
      <c r="O20" s="194" t="s">
        <v>164</v>
      </c>
      <c r="P20" s="181" t="s">
        <v>164</v>
      </c>
      <c r="Q20" s="181" t="s">
        <v>164</v>
      </c>
      <c r="R20" s="119" t="s">
        <v>164</v>
      </c>
      <c r="S20" s="229"/>
      <c r="T20" s="229"/>
      <c r="U20" s="229"/>
      <c r="V20" s="229"/>
      <c r="W20" s="229"/>
      <c r="X20" s="229"/>
    </row>
    <row r="21" spans="1:24" s="257" customFormat="1" ht="16.5" customHeight="1" x14ac:dyDescent="0.25">
      <c r="A21" s="1047"/>
      <c r="B21" s="1048"/>
      <c r="C21" s="1049"/>
      <c r="D21" s="254"/>
      <c r="E21" s="1051"/>
      <c r="F21" s="1052"/>
      <c r="G21" s="1053"/>
      <c r="H21" s="1326"/>
      <c r="I21" s="75"/>
      <c r="J21" s="50"/>
      <c r="K21" s="47"/>
      <c r="L21" s="47"/>
      <c r="M21" s="47"/>
      <c r="N21" s="17" t="s">
        <v>33</v>
      </c>
      <c r="O21" s="87">
        <v>166</v>
      </c>
      <c r="P21" s="83">
        <v>166</v>
      </c>
      <c r="Q21" s="83">
        <v>166</v>
      </c>
      <c r="R21" s="120">
        <v>166</v>
      </c>
      <c r="S21" s="229"/>
      <c r="T21" s="229"/>
      <c r="U21" s="229"/>
      <c r="V21" s="229"/>
      <c r="W21" s="229"/>
      <c r="X21" s="229"/>
    </row>
    <row r="22" spans="1:24" s="257" customFormat="1" ht="15" customHeight="1" x14ac:dyDescent="0.25">
      <c r="A22" s="1047"/>
      <c r="B22" s="1048"/>
      <c r="C22" s="1049"/>
      <c r="D22" s="254"/>
      <c r="E22" s="529" t="s">
        <v>34</v>
      </c>
      <c r="F22" s="1052"/>
      <c r="G22" s="1053"/>
      <c r="H22" s="1326"/>
      <c r="I22" s="241" t="s">
        <v>35</v>
      </c>
      <c r="J22" s="71">
        <v>18.5</v>
      </c>
      <c r="K22" s="46"/>
      <c r="L22" s="46"/>
      <c r="M22" s="46"/>
      <c r="N22" s="538" t="s">
        <v>165</v>
      </c>
      <c r="O22" s="104" t="s">
        <v>166</v>
      </c>
      <c r="P22" s="265" t="s">
        <v>166</v>
      </c>
      <c r="Q22" s="265" t="s">
        <v>166</v>
      </c>
      <c r="R22" s="266" t="s">
        <v>166</v>
      </c>
      <c r="S22" s="229"/>
      <c r="T22" s="229"/>
      <c r="U22" s="229"/>
      <c r="V22" s="229"/>
      <c r="W22" s="229"/>
      <c r="X22" s="229"/>
    </row>
    <row r="23" spans="1:24" s="257" customFormat="1" ht="15" customHeight="1" x14ac:dyDescent="0.25">
      <c r="A23" s="526"/>
      <c r="B23" s="527"/>
      <c r="C23" s="528"/>
      <c r="D23" s="254"/>
      <c r="E23" s="541"/>
      <c r="F23" s="757"/>
      <c r="G23" s="758"/>
      <c r="H23" s="601"/>
      <c r="I23" s="75" t="s">
        <v>30</v>
      </c>
      <c r="J23" s="50"/>
      <c r="K23" s="47">
        <v>18.5</v>
      </c>
      <c r="L23" s="47">
        <v>18.5</v>
      </c>
      <c r="M23" s="47">
        <v>18.5</v>
      </c>
      <c r="N23" s="759"/>
      <c r="O23" s="105"/>
      <c r="P23" s="224"/>
      <c r="Q23" s="224"/>
      <c r="R23" s="448"/>
      <c r="S23" s="229"/>
      <c r="T23" s="229"/>
      <c r="U23" s="229"/>
      <c r="V23" s="229"/>
      <c r="W23" s="229"/>
      <c r="X23" s="229"/>
    </row>
    <row r="24" spans="1:24" s="257" customFormat="1" ht="18" customHeight="1" thickBot="1" x14ac:dyDescent="0.3">
      <c r="A24" s="403"/>
      <c r="B24" s="398"/>
      <c r="C24" s="401"/>
      <c r="D24" s="18"/>
      <c r="E24" s="880"/>
      <c r="F24" s="256"/>
      <c r="G24" s="760"/>
      <c r="H24" s="879"/>
      <c r="I24" s="289" t="s">
        <v>27</v>
      </c>
      <c r="J24" s="72">
        <f>SUM(J19:J23)</f>
        <v>78.5</v>
      </c>
      <c r="K24" s="44">
        <f>SUM(K19:K23)</f>
        <v>78.5</v>
      </c>
      <c r="L24" s="44">
        <f>SUM(L19:L23)</f>
        <v>78.5</v>
      </c>
      <c r="M24" s="44">
        <f>SUM(M19:M23)</f>
        <v>78.5</v>
      </c>
      <c r="N24" s="756"/>
      <c r="O24" s="89"/>
      <c r="P24" s="192"/>
      <c r="Q24" s="192"/>
      <c r="R24" s="186"/>
      <c r="S24" s="229"/>
      <c r="T24" s="229"/>
      <c r="U24" s="229"/>
      <c r="V24" s="229"/>
      <c r="W24" s="229"/>
      <c r="X24" s="229"/>
    </row>
    <row r="25" spans="1:24" s="257" customFormat="1" ht="29.25" customHeight="1" x14ac:dyDescent="0.25">
      <c r="A25" s="1078" t="s">
        <v>14</v>
      </c>
      <c r="B25" s="1079" t="s">
        <v>14</v>
      </c>
      <c r="C25" s="1090" t="s">
        <v>36</v>
      </c>
      <c r="D25" s="19"/>
      <c r="E25" s="1092" t="s">
        <v>37</v>
      </c>
      <c r="F25" s="1093" t="s">
        <v>18</v>
      </c>
      <c r="G25" s="1094" t="s">
        <v>20</v>
      </c>
      <c r="H25" s="1322" t="s">
        <v>22</v>
      </c>
      <c r="I25" s="137" t="s">
        <v>24</v>
      </c>
      <c r="J25" s="110">
        <f>19.1+21.4</f>
        <v>40.5</v>
      </c>
      <c r="K25" s="126"/>
      <c r="L25" s="110"/>
      <c r="M25" s="110"/>
      <c r="N25" s="413" t="s">
        <v>169</v>
      </c>
      <c r="O25" s="271">
        <v>4</v>
      </c>
      <c r="P25" s="439">
        <v>5</v>
      </c>
      <c r="Q25" s="439">
        <v>5</v>
      </c>
      <c r="R25" s="187">
        <v>5</v>
      </c>
      <c r="S25" s="229"/>
      <c r="T25" s="229"/>
      <c r="U25" s="229"/>
      <c r="V25" s="229"/>
      <c r="W25" s="229"/>
      <c r="X25" s="229"/>
    </row>
    <row r="26" spans="1:24" s="257" customFormat="1" ht="25.5" customHeight="1" x14ac:dyDescent="0.25">
      <c r="A26" s="1047"/>
      <c r="B26" s="1048"/>
      <c r="C26" s="1049"/>
      <c r="D26" s="254"/>
      <c r="E26" s="1072"/>
      <c r="F26" s="1064"/>
      <c r="G26" s="1066"/>
      <c r="H26" s="1323"/>
      <c r="I26" s="138" t="s">
        <v>23</v>
      </c>
      <c r="J26" s="43"/>
      <c r="K26" s="42">
        <v>25</v>
      </c>
      <c r="L26" s="43">
        <v>25</v>
      </c>
      <c r="M26" s="43">
        <v>25</v>
      </c>
      <c r="N26" s="513" t="s">
        <v>149</v>
      </c>
      <c r="O26" s="255">
        <v>112</v>
      </c>
      <c r="P26" s="340"/>
      <c r="Q26" s="340"/>
      <c r="R26" s="334"/>
      <c r="S26" s="229"/>
      <c r="T26" s="229"/>
      <c r="U26" s="229"/>
      <c r="V26" s="229"/>
      <c r="W26" s="229"/>
      <c r="X26" s="229"/>
    </row>
    <row r="27" spans="1:24" s="257" customFormat="1" ht="15.75" customHeight="1" thickBot="1" x14ac:dyDescent="0.3">
      <c r="A27" s="1047"/>
      <c r="B27" s="1089"/>
      <c r="C27" s="1091"/>
      <c r="D27" s="18"/>
      <c r="E27" s="1073"/>
      <c r="F27" s="1065"/>
      <c r="G27" s="1067"/>
      <c r="H27" s="1324"/>
      <c r="I27" s="288" t="s">
        <v>27</v>
      </c>
      <c r="J27" s="72">
        <f>SUM(J25:J26)</f>
        <v>40.5</v>
      </c>
      <c r="K27" s="72">
        <f>SUM(K25:K26)</f>
        <v>25</v>
      </c>
      <c r="L27" s="72">
        <f>SUM(L25:L26)</f>
        <v>25</v>
      </c>
      <c r="M27" s="72">
        <f>SUM(M25:M26)</f>
        <v>25</v>
      </c>
      <c r="N27" s="414"/>
      <c r="O27" s="256"/>
      <c r="P27" s="182"/>
      <c r="Q27" s="182"/>
      <c r="R27" s="188"/>
      <c r="S27" s="229"/>
      <c r="T27" s="229"/>
      <c r="U27" s="229"/>
      <c r="V27" s="229"/>
      <c r="W27" s="229"/>
      <c r="X27" s="229"/>
    </row>
    <row r="28" spans="1:24" s="257" customFormat="1" ht="27.75" customHeight="1" x14ac:dyDescent="0.25">
      <c r="A28" s="1078" t="s">
        <v>14</v>
      </c>
      <c r="B28" s="1079" t="s">
        <v>14</v>
      </c>
      <c r="C28" s="1080" t="s">
        <v>38</v>
      </c>
      <c r="D28" s="19"/>
      <c r="E28" s="1082" t="s">
        <v>150</v>
      </c>
      <c r="F28" s="573"/>
      <c r="G28" s="1084">
        <v>6</v>
      </c>
      <c r="H28" s="1332" t="s">
        <v>22</v>
      </c>
      <c r="I28" s="175" t="s">
        <v>35</v>
      </c>
      <c r="J28" s="872">
        <v>12</v>
      </c>
      <c r="K28" s="290"/>
      <c r="L28" s="290"/>
      <c r="M28" s="290"/>
      <c r="N28" s="517" t="s">
        <v>151</v>
      </c>
      <c r="O28" s="970">
        <v>48</v>
      </c>
      <c r="P28" s="341"/>
      <c r="Q28" s="245"/>
      <c r="R28" s="264"/>
      <c r="S28" s="229"/>
      <c r="T28" s="229"/>
      <c r="U28" s="229"/>
      <c r="V28" s="229"/>
      <c r="W28" s="229"/>
      <c r="X28" s="229"/>
    </row>
    <row r="29" spans="1:24" s="257" customFormat="1" ht="34.5" customHeight="1" x14ac:dyDescent="0.25">
      <c r="A29" s="1047"/>
      <c r="B29" s="1048"/>
      <c r="C29" s="1081"/>
      <c r="D29" s="254"/>
      <c r="E29" s="1083"/>
      <c r="F29" s="1087"/>
      <c r="G29" s="1085"/>
      <c r="H29" s="1293"/>
      <c r="I29" s="175" t="s">
        <v>63</v>
      </c>
      <c r="J29" s="872">
        <v>5.4</v>
      </c>
      <c r="K29" s="111"/>
      <c r="L29" s="111"/>
      <c r="M29" s="111"/>
      <c r="N29" s="410"/>
      <c r="O29" s="321"/>
      <c r="P29" s="133"/>
      <c r="Q29" s="84"/>
      <c r="R29" s="134"/>
      <c r="S29" s="229"/>
      <c r="T29" s="229"/>
      <c r="U29" s="229"/>
      <c r="V29" s="229"/>
      <c r="W29" s="229"/>
      <c r="X29" s="229"/>
    </row>
    <row r="30" spans="1:24" s="257" customFormat="1" ht="14.25" customHeight="1" thickBot="1" x14ac:dyDescent="0.3">
      <c r="A30" s="1047"/>
      <c r="B30" s="1048"/>
      <c r="C30" s="1081"/>
      <c r="D30" s="254"/>
      <c r="E30" s="158"/>
      <c r="F30" s="1088"/>
      <c r="G30" s="1086"/>
      <c r="H30" s="1294"/>
      <c r="I30" s="291" t="s">
        <v>27</v>
      </c>
      <c r="J30" s="44">
        <f t="shared" ref="J30:M30" si="2">SUM(J28:J29)</f>
        <v>17.399999999999999</v>
      </c>
      <c r="K30" s="128">
        <f t="shared" ref="K30:L30" si="3">SUM(K28:K29)</f>
        <v>0</v>
      </c>
      <c r="L30" s="128">
        <f t="shared" si="3"/>
        <v>0</v>
      </c>
      <c r="M30" s="128">
        <f t="shared" si="2"/>
        <v>0</v>
      </c>
      <c r="N30" s="159"/>
      <c r="O30" s="89"/>
      <c r="P30" s="342"/>
      <c r="Q30" s="192"/>
      <c r="R30" s="186"/>
      <c r="S30" s="229"/>
      <c r="T30" s="229"/>
      <c r="U30" s="229"/>
      <c r="V30" s="229"/>
      <c r="W30" s="229"/>
      <c r="X30" s="229"/>
    </row>
    <row r="31" spans="1:24" s="257" customFormat="1" ht="15.75" customHeight="1" x14ac:dyDescent="0.25">
      <c r="A31" s="1078" t="s">
        <v>14</v>
      </c>
      <c r="B31" s="1079" t="s">
        <v>14</v>
      </c>
      <c r="C31" s="1080" t="s">
        <v>19</v>
      </c>
      <c r="D31" s="19"/>
      <c r="E31" s="1082" t="s">
        <v>167</v>
      </c>
      <c r="F31" s="1096" t="s">
        <v>40</v>
      </c>
      <c r="G31" s="1084">
        <v>6</v>
      </c>
      <c r="H31" s="1332" t="s">
        <v>22</v>
      </c>
      <c r="I31" s="267" t="s">
        <v>24</v>
      </c>
      <c r="J31" s="110">
        <v>54.8</v>
      </c>
      <c r="K31" s="290"/>
      <c r="L31" s="290"/>
      <c r="M31" s="290"/>
      <c r="N31" s="1095" t="s">
        <v>168</v>
      </c>
      <c r="O31" s="521">
        <v>2300</v>
      </c>
      <c r="P31" s="522"/>
      <c r="Q31" s="962"/>
      <c r="R31" s="523"/>
      <c r="S31" s="229"/>
      <c r="T31" s="229"/>
      <c r="U31" s="229"/>
      <c r="V31" s="229"/>
      <c r="W31" s="229"/>
      <c r="X31" s="229"/>
    </row>
    <row r="32" spans="1:24" s="257" customFormat="1" ht="18" customHeight="1" x14ac:dyDescent="0.25">
      <c r="A32" s="1047"/>
      <c r="B32" s="1048"/>
      <c r="C32" s="1081"/>
      <c r="D32" s="254"/>
      <c r="E32" s="1068"/>
      <c r="F32" s="1097"/>
      <c r="G32" s="1085"/>
      <c r="H32" s="1293"/>
      <c r="I32" s="175"/>
      <c r="J32" s="43"/>
      <c r="K32" s="111"/>
      <c r="L32" s="111"/>
      <c r="M32" s="111"/>
      <c r="N32" s="1070"/>
      <c r="O32" s="321"/>
      <c r="P32" s="133"/>
      <c r="Q32" s="84"/>
      <c r="R32" s="134"/>
      <c r="S32" s="229"/>
      <c r="T32" s="229"/>
      <c r="U32" s="229"/>
      <c r="V32" s="229"/>
      <c r="W32" s="229"/>
      <c r="X32" s="229"/>
    </row>
    <row r="33" spans="1:24" s="257" customFormat="1" ht="17.25" customHeight="1" thickBot="1" x14ac:dyDescent="0.3">
      <c r="A33" s="1047"/>
      <c r="B33" s="1089"/>
      <c r="C33" s="1098"/>
      <c r="D33" s="254"/>
      <c r="E33" s="158"/>
      <c r="F33" s="297"/>
      <c r="G33" s="1086"/>
      <c r="H33" s="1294"/>
      <c r="I33" s="288" t="s">
        <v>27</v>
      </c>
      <c r="J33" s="72">
        <f t="shared" ref="J33:K33" si="4">SUM(J31:J32)</f>
        <v>54.8</v>
      </c>
      <c r="K33" s="72">
        <f t="shared" si="4"/>
        <v>0</v>
      </c>
      <c r="L33" s="44">
        <f t="shared" ref="L33:M33" si="5">SUM(L31:L31)</f>
        <v>0</v>
      </c>
      <c r="M33" s="44">
        <f t="shared" si="5"/>
        <v>0</v>
      </c>
      <c r="N33" s="159"/>
      <c r="O33" s="89"/>
      <c r="P33" s="342"/>
      <c r="Q33" s="192"/>
      <c r="R33" s="186"/>
      <c r="S33" s="229"/>
      <c r="T33" s="229"/>
      <c r="U33" s="229"/>
      <c r="V33" s="229"/>
      <c r="W33" s="229"/>
      <c r="X33" s="229"/>
    </row>
    <row r="34" spans="1:24" s="257" customFormat="1" ht="28.5" customHeight="1" x14ac:dyDescent="0.25">
      <c r="A34" s="1078" t="s">
        <v>14</v>
      </c>
      <c r="B34" s="1079" t="s">
        <v>14</v>
      </c>
      <c r="C34" s="1080" t="s">
        <v>132</v>
      </c>
      <c r="D34" s="19"/>
      <c r="E34" s="1082" t="s">
        <v>145</v>
      </c>
      <c r="F34" s="1096" t="s">
        <v>40</v>
      </c>
      <c r="G34" s="1084">
        <v>5</v>
      </c>
      <c r="H34" s="1332" t="s">
        <v>43</v>
      </c>
      <c r="I34" s="175" t="s">
        <v>24</v>
      </c>
      <c r="J34" s="110">
        <v>720.6</v>
      </c>
      <c r="K34" s="290"/>
      <c r="L34" s="290"/>
      <c r="M34" s="290"/>
      <c r="N34" s="378" t="s">
        <v>143</v>
      </c>
      <c r="O34" s="193">
        <v>268</v>
      </c>
      <c r="P34" s="341"/>
      <c r="Q34" s="245"/>
      <c r="R34" s="264"/>
      <c r="S34" s="229"/>
      <c r="T34" s="229"/>
      <c r="U34" s="229"/>
      <c r="V34" s="229"/>
      <c r="W34" s="229"/>
      <c r="X34" s="229"/>
    </row>
    <row r="35" spans="1:24" s="257" customFormat="1" ht="24.75" customHeight="1" x14ac:dyDescent="0.25">
      <c r="A35" s="1047"/>
      <c r="B35" s="1048"/>
      <c r="C35" s="1081"/>
      <c r="D35" s="254"/>
      <c r="E35" s="1068"/>
      <c r="F35" s="1097"/>
      <c r="G35" s="1085"/>
      <c r="H35" s="1293"/>
      <c r="I35" s="175"/>
      <c r="J35" s="43"/>
      <c r="K35" s="111"/>
      <c r="L35" s="111"/>
      <c r="M35" s="111"/>
      <c r="N35" s="515" t="s">
        <v>144</v>
      </c>
      <c r="O35" s="321">
        <v>12</v>
      </c>
      <c r="P35" s="133"/>
      <c r="Q35" s="84"/>
      <c r="R35" s="134"/>
      <c r="S35" s="229"/>
      <c r="T35" s="229"/>
      <c r="U35" s="229"/>
      <c r="V35" s="229"/>
      <c r="W35" s="229"/>
      <c r="X35" s="229"/>
    </row>
    <row r="36" spans="1:24" s="257" customFormat="1" ht="13.5" customHeight="1" thickBot="1" x14ac:dyDescent="0.3">
      <c r="A36" s="1047"/>
      <c r="B36" s="1048"/>
      <c r="C36" s="1081"/>
      <c r="D36" s="254"/>
      <c r="E36" s="158"/>
      <c r="F36" s="297"/>
      <c r="G36" s="1086"/>
      <c r="H36" s="1294"/>
      <c r="I36" s="291" t="s">
        <v>27</v>
      </c>
      <c r="J36" s="44">
        <f t="shared" ref="J36:M36" si="6">SUM(J34:J35)</f>
        <v>720.6</v>
      </c>
      <c r="K36" s="128">
        <f t="shared" si="6"/>
        <v>0</v>
      </c>
      <c r="L36" s="128">
        <f t="shared" ref="L36" si="7">SUM(L34:L35)</f>
        <v>0</v>
      </c>
      <c r="M36" s="128">
        <f t="shared" si="6"/>
        <v>0</v>
      </c>
      <c r="N36" s="159"/>
      <c r="O36" s="89"/>
      <c r="P36" s="342"/>
      <c r="Q36" s="192"/>
      <c r="R36" s="186"/>
      <c r="S36" s="229"/>
      <c r="T36" s="229"/>
      <c r="U36" s="229"/>
      <c r="V36" s="229"/>
      <c r="W36" s="229"/>
      <c r="X36" s="229"/>
    </row>
    <row r="37" spans="1:24" s="257" customFormat="1" ht="13.5" thickBot="1" x14ac:dyDescent="0.3">
      <c r="A37" s="21" t="s">
        <v>14</v>
      </c>
      <c r="B37" s="22" t="s">
        <v>14</v>
      </c>
      <c r="C37" s="1107" t="s">
        <v>44</v>
      </c>
      <c r="D37" s="1107"/>
      <c r="E37" s="1107"/>
      <c r="F37" s="1107"/>
      <c r="G37" s="1107"/>
      <c r="H37" s="1107"/>
      <c r="I37" s="1107"/>
      <c r="J37" s="66">
        <f>J27+J24+J18+J30+J33+J36</f>
        <v>6181.4000000000005</v>
      </c>
      <c r="K37" s="66">
        <f>K27+K24+K18+K30+K33+K36</f>
        <v>5377.6</v>
      </c>
      <c r="L37" s="66">
        <f>L27+L24+L18+L30+L33+L36</f>
        <v>5382.1</v>
      </c>
      <c r="M37" s="66">
        <f>M27+M24+M18+M30+M33+M36</f>
        <v>5382.1</v>
      </c>
      <c r="N37" s="406"/>
      <c r="O37" s="407"/>
      <c r="P37" s="407"/>
      <c r="Q37" s="953"/>
      <c r="R37" s="954"/>
      <c r="S37" s="229"/>
      <c r="T37" s="229"/>
      <c r="U37" s="229"/>
      <c r="V37" s="229"/>
      <c r="W37" s="229"/>
      <c r="X37" s="229"/>
    </row>
    <row r="38" spans="1:24" s="257" customFormat="1" ht="18" customHeight="1" thickBot="1" x14ac:dyDescent="0.3">
      <c r="A38" s="21" t="s">
        <v>14</v>
      </c>
      <c r="B38" s="22" t="s">
        <v>28</v>
      </c>
      <c r="C38" s="1112" t="s">
        <v>45</v>
      </c>
      <c r="D38" s="1113"/>
      <c r="E38" s="1113"/>
      <c r="F38" s="1113"/>
      <c r="G38" s="1113"/>
      <c r="H38" s="1113"/>
      <c r="I38" s="1113"/>
      <c r="J38" s="1113"/>
      <c r="K38" s="1113"/>
      <c r="L38" s="1113"/>
      <c r="M38" s="1113"/>
      <c r="N38" s="1113"/>
      <c r="O38" s="1113"/>
      <c r="P38" s="1113"/>
      <c r="Q38" s="1113"/>
      <c r="R38" s="1114"/>
      <c r="S38" s="229"/>
      <c r="T38" s="229"/>
      <c r="U38" s="229"/>
      <c r="V38" s="229"/>
      <c r="W38" s="229"/>
      <c r="X38" s="229"/>
    </row>
    <row r="39" spans="1:24" s="257" customFormat="1" ht="26.25" customHeight="1" x14ac:dyDescent="0.25">
      <c r="A39" s="1115" t="s">
        <v>14</v>
      </c>
      <c r="B39" s="1079" t="s">
        <v>28</v>
      </c>
      <c r="C39" s="1333" t="s">
        <v>14</v>
      </c>
      <c r="D39" s="149"/>
      <c r="E39" s="23" t="s">
        <v>87</v>
      </c>
      <c r="F39" s="457"/>
      <c r="G39" s="1094" t="s">
        <v>20</v>
      </c>
      <c r="H39" s="1335" t="s">
        <v>22</v>
      </c>
      <c r="I39" s="458"/>
      <c r="J39" s="74"/>
      <c r="K39" s="74"/>
      <c r="L39" s="74"/>
      <c r="M39" s="74"/>
      <c r="N39" s="24"/>
      <c r="O39" s="92"/>
      <c r="P39" s="432"/>
      <c r="Q39" s="963"/>
      <c r="R39" s="441"/>
      <c r="S39" s="229"/>
      <c r="T39" s="229"/>
      <c r="U39" s="229"/>
      <c r="V39" s="229"/>
      <c r="W39" s="229"/>
      <c r="X39" s="229"/>
    </row>
    <row r="40" spans="1:24" s="257" customFormat="1" ht="20.25" customHeight="1" x14ac:dyDescent="0.25">
      <c r="A40" s="1116"/>
      <c r="B40" s="1048"/>
      <c r="C40" s="1334"/>
      <c r="D40" s="430" t="s">
        <v>14</v>
      </c>
      <c r="E40" s="1002" t="s">
        <v>47</v>
      </c>
      <c r="F40" s="1311" t="s">
        <v>46</v>
      </c>
      <c r="G40" s="1066"/>
      <c r="H40" s="1336"/>
      <c r="I40" s="175" t="s">
        <v>30</v>
      </c>
      <c r="J40" s="46">
        <v>75.900000000000006</v>
      </c>
      <c r="K40" s="43">
        <v>49</v>
      </c>
      <c r="L40" s="43">
        <v>50</v>
      </c>
      <c r="M40" s="43">
        <v>50</v>
      </c>
      <c r="N40" s="168" t="s">
        <v>48</v>
      </c>
      <c r="O40" s="516">
        <v>4</v>
      </c>
      <c r="P40" s="165">
        <v>2</v>
      </c>
      <c r="Q40" s="165">
        <v>3</v>
      </c>
      <c r="R40" s="426">
        <v>3</v>
      </c>
      <c r="S40" s="229"/>
      <c r="T40" s="229"/>
      <c r="U40" s="229"/>
      <c r="V40" s="229"/>
      <c r="W40" s="229"/>
      <c r="X40" s="229"/>
    </row>
    <row r="41" spans="1:24" s="257" customFormat="1" ht="20.25" customHeight="1" x14ac:dyDescent="0.25">
      <c r="A41" s="1116"/>
      <c r="B41" s="1048"/>
      <c r="C41" s="1334"/>
      <c r="D41" s="40"/>
      <c r="E41" s="1117"/>
      <c r="F41" s="1313"/>
      <c r="G41" s="1066"/>
      <c r="H41" s="1337"/>
      <c r="I41" s="296" t="s">
        <v>35</v>
      </c>
      <c r="J41" s="47"/>
      <c r="K41" s="47"/>
      <c r="L41" s="47"/>
      <c r="M41" s="47"/>
      <c r="N41" s="166"/>
      <c r="O41" s="167"/>
      <c r="P41" s="273"/>
      <c r="Q41" s="273"/>
      <c r="R41" s="431"/>
      <c r="S41" s="229"/>
      <c r="T41" s="229"/>
      <c r="U41" s="229"/>
      <c r="V41" s="229"/>
      <c r="W41" s="229"/>
      <c r="X41" s="229"/>
    </row>
    <row r="42" spans="1:24" s="257" customFormat="1" ht="16.5" customHeight="1" x14ac:dyDescent="0.25">
      <c r="A42" s="395"/>
      <c r="B42" s="397"/>
      <c r="C42" s="419"/>
      <c r="D42" s="146" t="s">
        <v>28</v>
      </c>
      <c r="E42" s="57" t="s">
        <v>49</v>
      </c>
      <c r="F42" s="1311" t="s">
        <v>86</v>
      </c>
      <c r="G42" s="487"/>
      <c r="H42" s="195"/>
      <c r="I42" s="450" t="s">
        <v>30</v>
      </c>
      <c r="J42" s="46">
        <v>1.8</v>
      </c>
      <c r="K42" s="46">
        <v>1.8</v>
      </c>
      <c r="L42" s="46">
        <v>1.8</v>
      </c>
      <c r="M42" s="46">
        <v>1.8</v>
      </c>
      <c r="N42" s="1045" t="s">
        <v>97</v>
      </c>
      <c r="O42" s="136">
        <v>1</v>
      </c>
      <c r="P42" s="433">
        <v>1</v>
      </c>
      <c r="Q42" s="135">
        <v>1</v>
      </c>
      <c r="R42" s="442">
        <v>1</v>
      </c>
      <c r="S42" s="229"/>
      <c r="T42" s="229"/>
      <c r="U42" s="229"/>
      <c r="V42" s="229"/>
      <c r="W42" s="229"/>
      <c r="X42" s="229"/>
    </row>
    <row r="43" spans="1:24" s="257" customFormat="1" ht="17.25" customHeight="1" x14ac:dyDescent="0.25">
      <c r="A43" s="395"/>
      <c r="B43" s="397"/>
      <c r="C43" s="419"/>
      <c r="D43" s="277"/>
      <c r="E43" s="77"/>
      <c r="F43" s="1312"/>
      <c r="G43" s="487"/>
      <c r="H43" s="195"/>
      <c r="I43" s="175" t="s">
        <v>35</v>
      </c>
      <c r="J43" s="43"/>
      <c r="K43" s="43"/>
      <c r="L43" s="43"/>
      <c r="M43" s="43"/>
      <c r="N43" s="1314"/>
      <c r="O43" s="100"/>
      <c r="P43" s="310"/>
      <c r="Q43" s="380"/>
      <c r="R43" s="377"/>
      <c r="S43" s="229"/>
      <c r="T43" s="229"/>
      <c r="U43" s="229"/>
      <c r="V43" s="229"/>
      <c r="W43" s="229"/>
      <c r="X43" s="229"/>
    </row>
    <row r="44" spans="1:24" s="257" customFormat="1" ht="5.25" customHeight="1" x14ac:dyDescent="0.25">
      <c r="A44" s="395"/>
      <c r="B44" s="397"/>
      <c r="C44" s="427"/>
      <c r="D44" s="40"/>
      <c r="E44" s="409"/>
      <c r="F44" s="1313"/>
      <c r="G44" s="487"/>
      <c r="H44" s="494"/>
      <c r="I44" s="75"/>
      <c r="J44" s="47"/>
      <c r="K44" s="47"/>
      <c r="L44" s="47"/>
      <c r="M44" s="47"/>
      <c r="N44" s="451"/>
      <c r="O44" s="249"/>
      <c r="P44" s="248"/>
      <c r="Q44" s="273"/>
      <c r="R44" s="431"/>
      <c r="S44" s="229"/>
      <c r="T44" s="229"/>
      <c r="U44" s="229"/>
      <c r="V44" s="229"/>
      <c r="W44" s="229"/>
      <c r="X44" s="229"/>
    </row>
    <row r="45" spans="1:24" s="257" customFormat="1" ht="29.25" customHeight="1" x14ac:dyDescent="0.25">
      <c r="A45" s="395"/>
      <c r="B45" s="397"/>
      <c r="C45" s="427"/>
      <c r="D45" s="204" t="s">
        <v>36</v>
      </c>
      <c r="E45" s="205" t="s">
        <v>115</v>
      </c>
      <c r="F45" s="294"/>
      <c r="G45" s="134"/>
      <c r="H45" s="609"/>
      <c r="I45" s="459" t="s">
        <v>30</v>
      </c>
      <c r="J45" s="73">
        <v>10</v>
      </c>
      <c r="K45" s="73">
        <v>10</v>
      </c>
      <c r="L45" s="73">
        <v>10</v>
      </c>
      <c r="M45" s="73">
        <v>10</v>
      </c>
      <c r="N45" s="219" t="s">
        <v>116</v>
      </c>
      <c r="O45" s="208">
        <v>187</v>
      </c>
      <c r="P45" s="434">
        <v>187</v>
      </c>
      <c r="Q45" s="207">
        <v>187</v>
      </c>
      <c r="R45" s="443">
        <v>187</v>
      </c>
      <c r="S45" s="229"/>
      <c r="T45" s="229"/>
      <c r="U45" s="229"/>
      <c r="V45" s="229"/>
      <c r="W45" s="229"/>
      <c r="X45" s="229"/>
    </row>
    <row r="46" spans="1:24" s="257" customFormat="1" ht="21.75" customHeight="1" x14ac:dyDescent="0.25">
      <c r="A46" s="511"/>
      <c r="B46" s="512"/>
      <c r="C46" s="518"/>
      <c r="D46" s="146" t="s">
        <v>38</v>
      </c>
      <c r="E46" s="1103" t="s">
        <v>104</v>
      </c>
      <c r="F46" s="295"/>
      <c r="G46" s="134"/>
      <c r="H46" s="609"/>
      <c r="I46" s="241" t="s">
        <v>106</v>
      </c>
      <c r="J46" s="46">
        <v>1.8</v>
      </c>
      <c r="K46" s="46"/>
      <c r="L46" s="46"/>
      <c r="M46" s="46"/>
      <c r="N46" s="1105" t="s">
        <v>103</v>
      </c>
      <c r="O46" s="612">
        <v>12</v>
      </c>
      <c r="P46" s="198"/>
      <c r="Q46" s="165"/>
      <c r="R46" s="426"/>
      <c r="S46" s="229"/>
      <c r="T46" s="229"/>
      <c r="U46" s="229"/>
      <c r="V46" s="229"/>
      <c r="W46" s="229"/>
      <c r="X46" s="229"/>
    </row>
    <row r="47" spans="1:24" s="257" customFormat="1" ht="32.25" customHeight="1" x14ac:dyDescent="0.25">
      <c r="A47" s="608"/>
      <c r="B47" s="610"/>
      <c r="C47" s="518"/>
      <c r="D47" s="247"/>
      <c r="E47" s="1075"/>
      <c r="F47" s="292"/>
      <c r="G47" s="114"/>
      <c r="H47" s="611"/>
      <c r="I47" s="75" t="s">
        <v>42</v>
      </c>
      <c r="J47" s="47"/>
      <c r="K47" s="47"/>
      <c r="L47" s="47"/>
      <c r="M47" s="47"/>
      <c r="N47" s="1315"/>
      <c r="O47" s="249"/>
      <c r="P47" s="248"/>
      <c r="Q47" s="273"/>
      <c r="R47" s="431"/>
      <c r="S47" s="229"/>
      <c r="T47" s="229"/>
      <c r="U47" s="229"/>
      <c r="V47" s="229"/>
      <c r="W47" s="229"/>
      <c r="X47" s="229"/>
    </row>
    <row r="48" spans="1:24" s="257" customFormat="1" ht="18" customHeight="1" thickBot="1" x14ac:dyDescent="0.25">
      <c r="A48" s="403"/>
      <c r="B48" s="398"/>
      <c r="C48" s="200"/>
      <c r="D48" s="202"/>
      <c r="E48" s="203"/>
      <c r="F48" s="460"/>
      <c r="G48" s="202"/>
      <c r="H48" s="461"/>
      <c r="I48" s="289" t="s">
        <v>27</v>
      </c>
      <c r="J48" s="127">
        <f>SUM(J40:J47)</f>
        <v>89.5</v>
      </c>
      <c r="K48" s="127">
        <f>SUM(K40:K45)</f>
        <v>60.8</v>
      </c>
      <c r="L48" s="127">
        <f>SUM(L40:L45)</f>
        <v>61.8</v>
      </c>
      <c r="M48" s="127">
        <f>SUM(M40:M45)</f>
        <v>61.8</v>
      </c>
      <c r="N48" s="206"/>
      <c r="O48" s="462"/>
      <c r="P48" s="463"/>
      <c r="Q48" s="469"/>
      <c r="R48" s="464"/>
      <c r="S48" s="229"/>
      <c r="T48" s="229"/>
      <c r="U48" s="229"/>
      <c r="V48" s="229"/>
      <c r="W48" s="229"/>
      <c r="X48" s="229"/>
    </row>
    <row r="49" spans="1:24" s="257" customFormat="1" ht="13.5" thickBot="1" x14ac:dyDescent="0.3">
      <c r="A49" s="26" t="s">
        <v>14</v>
      </c>
      <c r="B49" s="22" t="s">
        <v>28</v>
      </c>
      <c r="C49" s="1107" t="s">
        <v>44</v>
      </c>
      <c r="D49" s="1107"/>
      <c r="E49" s="1107"/>
      <c r="F49" s="1107"/>
      <c r="G49" s="1107"/>
      <c r="H49" s="1107"/>
      <c r="I49" s="1108"/>
      <c r="J49" s="66">
        <f t="shared" ref="J49:M49" si="8">J48</f>
        <v>89.5</v>
      </c>
      <c r="K49" s="66">
        <f t="shared" si="8"/>
        <v>60.8</v>
      </c>
      <c r="L49" s="66">
        <f t="shared" ref="L49" si="9">L48</f>
        <v>61.8</v>
      </c>
      <c r="M49" s="66">
        <f t="shared" si="8"/>
        <v>61.8</v>
      </c>
      <c r="N49" s="1109"/>
      <c r="O49" s="1110"/>
      <c r="P49" s="1110"/>
      <c r="Q49" s="1110"/>
      <c r="R49" s="1111"/>
      <c r="S49" s="229"/>
      <c r="T49" s="229"/>
      <c r="U49" s="229"/>
      <c r="V49" s="229"/>
      <c r="W49" s="229"/>
      <c r="X49" s="229"/>
    </row>
    <row r="50" spans="1:24" s="257" customFormat="1" ht="16.5" customHeight="1" thickBot="1" x14ac:dyDescent="0.3">
      <c r="A50" s="21" t="s">
        <v>14</v>
      </c>
      <c r="B50" s="22" t="s">
        <v>36</v>
      </c>
      <c r="C50" s="1112" t="s">
        <v>50</v>
      </c>
      <c r="D50" s="1113"/>
      <c r="E50" s="1113"/>
      <c r="F50" s="1113"/>
      <c r="G50" s="1113"/>
      <c r="H50" s="1113"/>
      <c r="I50" s="1113"/>
      <c r="J50" s="1113"/>
      <c r="K50" s="1113"/>
      <c r="L50" s="1113"/>
      <c r="M50" s="1113"/>
      <c r="N50" s="1113"/>
      <c r="O50" s="1113"/>
      <c r="P50" s="1113"/>
      <c r="Q50" s="1113"/>
      <c r="R50" s="1114"/>
      <c r="S50" s="229"/>
      <c r="T50" s="229"/>
      <c r="U50" s="229"/>
      <c r="V50" s="229"/>
      <c r="W50" s="229"/>
      <c r="X50" s="229"/>
    </row>
    <row r="51" spans="1:24" s="257" customFormat="1" ht="17.25" customHeight="1" x14ac:dyDescent="0.25">
      <c r="A51" s="394" t="s">
        <v>14</v>
      </c>
      <c r="B51" s="396" t="s">
        <v>36</v>
      </c>
      <c r="C51" s="418" t="s">
        <v>14</v>
      </c>
      <c r="D51" s="399"/>
      <c r="E51" s="148" t="s">
        <v>84</v>
      </c>
      <c r="F51" s="271"/>
      <c r="G51" s="536">
        <v>6</v>
      </c>
      <c r="H51" s="1308" t="s">
        <v>51</v>
      </c>
      <c r="I51" s="551"/>
      <c r="J51" s="78"/>
      <c r="K51" s="110"/>
      <c r="L51" s="110"/>
      <c r="M51" s="110"/>
      <c r="N51" s="28"/>
      <c r="O51" s="94"/>
      <c r="P51" s="435"/>
      <c r="Q51" s="91"/>
      <c r="R51" s="445"/>
      <c r="S51" s="229"/>
      <c r="T51" s="229"/>
      <c r="U51" s="229"/>
      <c r="V51" s="229"/>
      <c r="W51" s="229"/>
      <c r="X51" s="229"/>
    </row>
    <row r="52" spans="1:24" s="257" customFormat="1" ht="15.75" customHeight="1" x14ac:dyDescent="0.25">
      <c r="A52" s="395"/>
      <c r="B52" s="397"/>
      <c r="C52" s="419"/>
      <c r="D52" s="27" t="s">
        <v>14</v>
      </c>
      <c r="E52" s="57" t="s">
        <v>52</v>
      </c>
      <c r="F52" s="1136" t="s">
        <v>53</v>
      </c>
      <c r="G52" s="532"/>
      <c r="H52" s="1309"/>
      <c r="I52" s="241" t="s">
        <v>35</v>
      </c>
      <c r="J52" s="46">
        <v>10.3</v>
      </c>
      <c r="K52" s="46"/>
      <c r="L52" s="46"/>
      <c r="M52" s="46"/>
      <c r="N52" s="753" t="s">
        <v>95</v>
      </c>
      <c r="O52" s="752">
        <v>17</v>
      </c>
      <c r="P52" s="198">
        <v>17</v>
      </c>
      <c r="Q52" s="165">
        <v>17</v>
      </c>
      <c r="R52" s="426">
        <v>17</v>
      </c>
      <c r="S52" s="229"/>
      <c r="T52" s="229"/>
      <c r="U52" s="229"/>
      <c r="V52" s="229"/>
      <c r="W52" s="229"/>
      <c r="X52" s="229"/>
    </row>
    <row r="53" spans="1:24" s="257" customFormat="1" ht="18" customHeight="1" x14ac:dyDescent="0.25">
      <c r="A53" s="526"/>
      <c r="B53" s="527"/>
      <c r="C53" s="539"/>
      <c r="D53" s="531"/>
      <c r="E53" s="550"/>
      <c r="F53" s="1137"/>
      <c r="G53" s="532"/>
      <c r="H53" s="1310"/>
      <c r="I53" s="75" t="s">
        <v>30</v>
      </c>
      <c r="J53" s="47"/>
      <c r="K53" s="47">
        <v>10.3</v>
      </c>
      <c r="L53" s="47">
        <v>10.3</v>
      </c>
      <c r="M53" s="47">
        <v>10.3</v>
      </c>
      <c r="N53" s="754"/>
      <c r="O53" s="249"/>
      <c r="P53" s="248"/>
      <c r="Q53" s="273"/>
      <c r="R53" s="431"/>
      <c r="S53" s="229"/>
      <c r="T53" s="229"/>
      <c r="U53" s="229"/>
      <c r="V53" s="229"/>
      <c r="W53" s="229"/>
      <c r="X53" s="229"/>
    </row>
    <row r="54" spans="1:24" s="257" customFormat="1" ht="25.5" customHeight="1" x14ac:dyDescent="0.25">
      <c r="A54" s="395"/>
      <c r="B54" s="397"/>
      <c r="C54" s="419"/>
      <c r="D54" s="549" t="s">
        <v>28</v>
      </c>
      <c r="E54" s="533" t="s">
        <v>54</v>
      </c>
      <c r="F54" s="1138"/>
      <c r="G54" s="532"/>
      <c r="H54" s="496"/>
      <c r="I54" s="552" t="s">
        <v>35</v>
      </c>
      <c r="J54" s="46">
        <v>12.6</v>
      </c>
      <c r="K54" s="46"/>
      <c r="L54" s="46"/>
      <c r="M54" s="46"/>
      <c r="N54" s="753" t="s">
        <v>100</v>
      </c>
      <c r="O54" s="554" t="s">
        <v>117</v>
      </c>
      <c r="P54" s="555" t="s">
        <v>117</v>
      </c>
      <c r="Q54" s="553" t="s">
        <v>117</v>
      </c>
      <c r="R54" s="556" t="s">
        <v>117</v>
      </c>
      <c r="S54" s="229"/>
      <c r="T54" s="229"/>
      <c r="U54" s="229"/>
      <c r="V54" s="229"/>
      <c r="W54" s="229"/>
      <c r="X54" s="229"/>
    </row>
    <row r="55" spans="1:24" s="257" customFormat="1" ht="16.5" customHeight="1" x14ac:dyDescent="0.25">
      <c r="A55" s="526"/>
      <c r="B55" s="527"/>
      <c r="C55" s="539"/>
      <c r="D55" s="535"/>
      <c r="E55" s="534"/>
      <c r="F55" s="548"/>
      <c r="G55" s="532"/>
      <c r="H55" s="496"/>
      <c r="I55" s="139" t="s">
        <v>30</v>
      </c>
      <c r="J55" s="47"/>
      <c r="K55" s="47">
        <v>12.6</v>
      </c>
      <c r="L55" s="47">
        <v>12.6</v>
      </c>
      <c r="M55" s="47">
        <v>12.6</v>
      </c>
      <c r="N55" s="754"/>
      <c r="O55" s="558"/>
      <c r="P55" s="559"/>
      <c r="Q55" s="557"/>
      <c r="R55" s="560"/>
      <c r="S55" s="229"/>
      <c r="T55" s="229"/>
      <c r="U55" s="229"/>
      <c r="V55" s="229"/>
      <c r="W55" s="229"/>
      <c r="X55" s="229"/>
    </row>
    <row r="56" spans="1:24" s="257" customFormat="1" ht="19.5" customHeight="1" x14ac:dyDescent="0.25">
      <c r="A56" s="395"/>
      <c r="B56" s="397"/>
      <c r="C56" s="419"/>
      <c r="D56" s="411" t="s">
        <v>36</v>
      </c>
      <c r="E56" s="1002" t="s">
        <v>171</v>
      </c>
      <c r="F56" s="298"/>
      <c r="G56" s="487"/>
      <c r="H56" s="496"/>
      <c r="I56" s="138" t="s">
        <v>35</v>
      </c>
      <c r="J56" s="43">
        <v>199</v>
      </c>
      <c r="K56" s="43"/>
      <c r="L56" s="43"/>
      <c r="M56" s="43"/>
      <c r="N56" s="509" t="s">
        <v>127</v>
      </c>
      <c r="O56" s="88">
        <v>2</v>
      </c>
      <c r="P56" s="133"/>
      <c r="Q56" s="221"/>
      <c r="R56" s="176"/>
      <c r="S56" s="229"/>
      <c r="T56" s="229"/>
      <c r="U56" s="229"/>
      <c r="V56" s="229"/>
      <c r="W56" s="229"/>
      <c r="X56" s="229"/>
    </row>
    <row r="57" spans="1:24" s="257" customFormat="1" ht="26.25" customHeight="1" x14ac:dyDescent="0.25">
      <c r="A57" s="395"/>
      <c r="B57" s="397"/>
      <c r="C57" s="419"/>
      <c r="D57" s="411"/>
      <c r="E57" s="1002"/>
      <c r="F57" s="298"/>
      <c r="G57" s="487"/>
      <c r="H57" s="496"/>
      <c r="I57" s="138" t="s">
        <v>42</v>
      </c>
      <c r="J57" s="48">
        <v>10</v>
      </c>
      <c r="K57" s="43">
        <v>90</v>
      </c>
      <c r="L57" s="43"/>
      <c r="M57" s="43"/>
      <c r="N57" s="524" t="s">
        <v>170</v>
      </c>
      <c r="O57" s="116">
        <v>1</v>
      </c>
      <c r="P57" s="561">
        <v>1</v>
      </c>
      <c r="Q57" s="280">
        <v>1</v>
      </c>
      <c r="R57" s="115">
        <v>1</v>
      </c>
      <c r="S57" s="229"/>
      <c r="T57" s="229"/>
      <c r="U57" s="229"/>
      <c r="V57" s="229"/>
      <c r="W57" s="229"/>
      <c r="X57" s="229"/>
    </row>
    <row r="58" spans="1:24" s="257" customFormat="1" ht="13.5" customHeight="1" x14ac:dyDescent="0.25">
      <c r="A58" s="395"/>
      <c r="B58" s="397"/>
      <c r="C58" s="419"/>
      <c r="D58" s="412"/>
      <c r="E58" s="1188"/>
      <c r="F58" s="298"/>
      <c r="G58" s="514"/>
      <c r="H58" s="497"/>
      <c r="I58" s="139" t="s">
        <v>30</v>
      </c>
      <c r="J58" s="50"/>
      <c r="K58" s="47">
        <v>90.2</v>
      </c>
      <c r="L58" s="47">
        <f>88-9.8</f>
        <v>78.2</v>
      </c>
      <c r="M58" s="47">
        <f>88-9.8</f>
        <v>78.2</v>
      </c>
      <c r="N58" s="525"/>
      <c r="O58" s="98"/>
      <c r="P58" s="20"/>
      <c r="Q58" s="95"/>
      <c r="R58" s="114"/>
      <c r="S58" s="229"/>
      <c r="T58" s="229"/>
      <c r="U58" s="229"/>
      <c r="V58" s="229"/>
      <c r="W58" s="229"/>
      <c r="X58" s="229"/>
    </row>
    <row r="59" spans="1:24" s="257" customFormat="1" ht="25.5" customHeight="1" x14ac:dyDescent="0.25">
      <c r="A59" s="914"/>
      <c r="B59" s="917"/>
      <c r="C59" s="920"/>
      <c r="D59" s="921" t="s">
        <v>38</v>
      </c>
      <c r="E59" s="689" t="s">
        <v>179</v>
      </c>
      <c r="F59" s="298"/>
      <c r="G59" s="918"/>
      <c r="H59" s="552" t="s">
        <v>22</v>
      </c>
      <c r="I59" s="138" t="s">
        <v>30</v>
      </c>
      <c r="J59" s="48">
        <v>10</v>
      </c>
      <c r="K59" s="922"/>
      <c r="L59" s="46"/>
      <c r="M59" s="46"/>
      <c r="N59" s="916" t="s">
        <v>172</v>
      </c>
      <c r="O59" s="180"/>
      <c r="P59" s="923">
        <v>1</v>
      </c>
      <c r="Q59" s="221"/>
      <c r="R59" s="176"/>
      <c r="S59" s="229"/>
      <c r="T59" s="229"/>
      <c r="U59" s="229"/>
      <c r="V59" s="229"/>
      <c r="W59" s="229"/>
      <c r="X59" s="229"/>
    </row>
    <row r="60" spans="1:24" s="257" customFormat="1" ht="16.5" customHeight="1" x14ac:dyDescent="0.25">
      <c r="A60" s="914"/>
      <c r="B60" s="917"/>
      <c r="C60" s="920"/>
      <c r="D60" s="535"/>
      <c r="E60" s="915"/>
      <c r="F60" s="924"/>
      <c r="G60" s="919"/>
      <c r="H60" s="497"/>
      <c r="I60" s="139" t="s">
        <v>35</v>
      </c>
      <c r="J60" s="47"/>
      <c r="K60" s="47">
        <v>15</v>
      </c>
      <c r="L60" s="47"/>
      <c r="M60" s="47"/>
      <c r="N60" s="817"/>
      <c r="O60" s="558"/>
      <c r="P60" s="559"/>
      <c r="Q60" s="557"/>
      <c r="R60" s="560"/>
      <c r="S60" s="229"/>
      <c r="T60" s="229"/>
      <c r="U60" s="229"/>
      <c r="V60" s="229"/>
      <c r="W60" s="229"/>
      <c r="X60" s="229"/>
    </row>
    <row r="61" spans="1:24" s="257" customFormat="1" ht="18" customHeight="1" thickBot="1" x14ac:dyDescent="0.25">
      <c r="A61" s="403"/>
      <c r="B61" s="398"/>
      <c r="C61" s="201"/>
      <c r="D61" s="202"/>
      <c r="E61" s="465"/>
      <c r="F61" s="465"/>
      <c r="G61" s="210"/>
      <c r="H61" s="466"/>
      <c r="I61" s="289" t="s">
        <v>27</v>
      </c>
      <c r="J61" s="72">
        <f>SUM(J51:J60)</f>
        <v>241.9</v>
      </c>
      <c r="K61" s="72">
        <f t="shared" ref="K61:M61" si="10">SUM(K51:K60)</f>
        <v>218.10000000000002</v>
      </c>
      <c r="L61" s="72">
        <f t="shared" ref="L61" si="11">SUM(L51:L60)</f>
        <v>101.1</v>
      </c>
      <c r="M61" s="72">
        <f t="shared" si="10"/>
        <v>101.1</v>
      </c>
      <c r="N61" s="467"/>
      <c r="O61" s="468"/>
      <c r="P61" s="469"/>
      <c r="Q61" s="463"/>
      <c r="R61" s="464"/>
      <c r="S61" s="229"/>
      <c r="T61" s="229"/>
      <c r="U61" s="229"/>
      <c r="V61" s="229"/>
      <c r="W61" s="229"/>
      <c r="X61" s="229"/>
    </row>
    <row r="62" spans="1:24" s="257" customFormat="1" ht="28.5" customHeight="1" x14ac:dyDescent="0.2">
      <c r="A62" s="394" t="s">
        <v>14</v>
      </c>
      <c r="B62" s="396" t="s">
        <v>36</v>
      </c>
      <c r="C62" s="418" t="s">
        <v>28</v>
      </c>
      <c r="D62" s="29"/>
      <c r="E62" s="30" t="s">
        <v>55</v>
      </c>
      <c r="F62" s="470"/>
      <c r="G62" s="503"/>
      <c r="H62" s="498"/>
      <c r="I62" s="458"/>
      <c r="J62" s="74"/>
      <c r="K62" s="78"/>
      <c r="L62" s="74"/>
      <c r="M62" s="74"/>
      <c r="N62" s="123"/>
      <c r="O62" s="86"/>
      <c r="P62" s="436"/>
      <c r="Q62" s="82"/>
      <c r="R62" s="118"/>
      <c r="S62" s="229"/>
      <c r="T62" s="229"/>
      <c r="U62" s="229"/>
      <c r="V62" s="229"/>
      <c r="W62" s="229"/>
      <c r="X62" s="229"/>
    </row>
    <row r="63" spans="1:24" s="257" customFormat="1" ht="54" customHeight="1" x14ac:dyDescent="0.25">
      <c r="A63" s="7"/>
      <c r="B63" s="8"/>
      <c r="C63" s="209"/>
      <c r="D63" s="405" t="s">
        <v>14</v>
      </c>
      <c r="E63" s="1068" t="s">
        <v>105</v>
      </c>
      <c r="F63" s="153" t="s">
        <v>39</v>
      </c>
      <c r="G63" s="696">
        <v>4</v>
      </c>
      <c r="H63" s="697" t="s">
        <v>64</v>
      </c>
      <c r="I63" s="698" t="s">
        <v>35</v>
      </c>
      <c r="J63" s="199">
        <v>17.600000000000001</v>
      </c>
      <c r="K63" s="622"/>
      <c r="L63" s="603"/>
      <c r="M63" s="603"/>
      <c r="N63" s="699" t="s">
        <v>88</v>
      </c>
      <c r="O63" s="987">
        <v>1</v>
      </c>
      <c r="P63" s="222"/>
      <c r="Q63" s="222"/>
      <c r="R63" s="117"/>
      <c r="S63" s="229"/>
      <c r="T63" s="229"/>
      <c r="U63" s="229"/>
      <c r="V63" s="229"/>
      <c r="W63" s="229"/>
      <c r="X63" s="229"/>
    </row>
    <row r="64" spans="1:24" s="257" customFormat="1" ht="12" customHeight="1" x14ac:dyDescent="0.25">
      <c r="A64" s="7"/>
      <c r="B64" s="8"/>
      <c r="C64" s="209"/>
      <c r="D64" s="405"/>
      <c r="E64" s="1068"/>
      <c r="F64" s="1317" t="s">
        <v>57</v>
      </c>
      <c r="G64" s="681">
        <v>6</v>
      </c>
      <c r="H64" s="1293" t="s">
        <v>89</v>
      </c>
      <c r="I64" s="472" t="s">
        <v>42</v>
      </c>
      <c r="J64" s="142"/>
      <c r="K64" s="48">
        <v>200</v>
      </c>
      <c r="L64" s="43">
        <v>139.30000000000001</v>
      </c>
      <c r="M64" s="43"/>
      <c r="N64" s="1142" t="s">
        <v>113</v>
      </c>
      <c r="O64" s="116">
        <v>0</v>
      </c>
      <c r="P64" s="280">
        <v>60</v>
      </c>
      <c r="Q64" s="280">
        <v>100</v>
      </c>
      <c r="R64" s="115"/>
      <c r="S64" s="229"/>
      <c r="T64" s="229"/>
      <c r="U64" s="229"/>
      <c r="V64" s="229"/>
      <c r="W64" s="229"/>
      <c r="X64" s="229"/>
    </row>
    <row r="65" spans="1:24" s="257" customFormat="1" ht="15.75" customHeight="1" x14ac:dyDescent="0.25">
      <c r="A65" s="7"/>
      <c r="B65" s="8"/>
      <c r="C65" s="209"/>
      <c r="D65" s="405"/>
      <c r="E65" s="1068"/>
      <c r="F65" s="1318"/>
      <c r="G65" s="681"/>
      <c r="H65" s="1320"/>
      <c r="I65" s="299" t="s">
        <v>99</v>
      </c>
      <c r="J65" s="142">
        <v>88.7</v>
      </c>
      <c r="K65" s="48">
        <v>22</v>
      </c>
      <c r="L65" s="43"/>
      <c r="M65" s="43"/>
      <c r="N65" s="1142"/>
      <c r="O65" s="88"/>
      <c r="P65" s="84"/>
      <c r="Q65" s="84"/>
      <c r="R65" s="134"/>
      <c r="S65" s="229"/>
      <c r="T65" s="229"/>
      <c r="U65" s="229"/>
      <c r="V65" s="229"/>
      <c r="W65" s="229"/>
      <c r="X65" s="229"/>
    </row>
    <row r="66" spans="1:24" s="257" customFormat="1" ht="16.5" customHeight="1" x14ac:dyDescent="0.25">
      <c r="A66" s="7"/>
      <c r="B66" s="8"/>
      <c r="C66" s="209"/>
      <c r="D66" s="40"/>
      <c r="E66" s="1139"/>
      <c r="F66" s="1319"/>
      <c r="G66" s="682"/>
      <c r="H66" s="1321"/>
      <c r="I66" s="300" t="s">
        <v>30</v>
      </c>
      <c r="J66" s="992">
        <f>50-6.8</f>
        <v>43.2</v>
      </c>
      <c r="K66" s="50"/>
      <c r="L66" s="47"/>
      <c r="M66" s="47"/>
      <c r="N66" s="1143"/>
      <c r="O66" s="98"/>
      <c r="P66" s="95"/>
      <c r="Q66" s="95"/>
      <c r="R66" s="114"/>
      <c r="S66" s="229"/>
      <c r="T66" s="229"/>
      <c r="U66" s="229"/>
      <c r="V66" s="229"/>
      <c r="W66" s="229"/>
      <c r="X66" s="229"/>
    </row>
    <row r="67" spans="1:24" s="257" customFormat="1" ht="15" customHeight="1" x14ac:dyDescent="0.25">
      <c r="A67" s="395"/>
      <c r="B67" s="397"/>
      <c r="C67" s="419"/>
      <c r="D67" s="67" t="s">
        <v>28</v>
      </c>
      <c r="E67" s="1103" t="s">
        <v>56</v>
      </c>
      <c r="F67" s="1155" t="s">
        <v>57</v>
      </c>
      <c r="G67" s="487">
        <v>6</v>
      </c>
      <c r="H67" s="1362" t="s">
        <v>51</v>
      </c>
      <c r="I67" s="729" t="s">
        <v>35</v>
      </c>
      <c r="J67" s="43">
        <v>110.7</v>
      </c>
      <c r="K67" s="48"/>
      <c r="L67" s="43"/>
      <c r="M67" s="43"/>
      <c r="N67" s="1358" t="s">
        <v>211</v>
      </c>
      <c r="O67" s="104" t="s">
        <v>173</v>
      </c>
      <c r="P67" s="265" t="s">
        <v>173</v>
      </c>
      <c r="Q67" s="265" t="s">
        <v>173</v>
      </c>
      <c r="R67" s="266"/>
      <c r="S67" s="229"/>
      <c r="T67" s="229"/>
      <c r="U67" s="229"/>
      <c r="V67" s="229"/>
      <c r="W67" s="229"/>
      <c r="X67" s="229"/>
    </row>
    <row r="68" spans="1:24" s="257" customFormat="1" ht="14.25" customHeight="1" x14ac:dyDescent="0.25">
      <c r="A68" s="395"/>
      <c r="B68" s="397"/>
      <c r="C68" s="419"/>
      <c r="D68" s="400"/>
      <c r="E68" s="1068"/>
      <c r="F68" s="1156"/>
      <c r="G68" s="487"/>
      <c r="H68" s="1363"/>
      <c r="I68" s="729" t="s">
        <v>30</v>
      </c>
      <c r="J68" s="43"/>
      <c r="K68" s="48">
        <v>110.7</v>
      </c>
      <c r="L68" s="43">
        <v>110.7</v>
      </c>
      <c r="M68" s="43"/>
      <c r="N68" s="1359"/>
      <c r="O68" s="88"/>
      <c r="P68" s="84"/>
      <c r="Q68" s="84"/>
      <c r="R68" s="134"/>
      <c r="S68" s="229"/>
      <c r="T68" s="229"/>
      <c r="U68" s="229"/>
      <c r="V68" s="229"/>
      <c r="W68" s="229"/>
      <c r="X68" s="229"/>
    </row>
    <row r="69" spans="1:24" s="257" customFormat="1" ht="16.5" customHeight="1" x14ac:dyDescent="0.25">
      <c r="A69" s="7"/>
      <c r="B69" s="8"/>
      <c r="C69" s="209"/>
      <c r="D69" s="400"/>
      <c r="E69" s="1068"/>
      <c r="F69" s="1156"/>
      <c r="G69" s="487"/>
      <c r="H69" s="1310"/>
      <c r="I69" s="175"/>
      <c r="J69" s="43"/>
      <c r="K69" s="48"/>
      <c r="L69" s="43"/>
      <c r="M69" s="43"/>
      <c r="N69" s="482" t="s">
        <v>152</v>
      </c>
      <c r="O69" s="97">
        <v>150</v>
      </c>
      <c r="P69" s="279">
        <v>150</v>
      </c>
      <c r="Q69" s="279">
        <v>150</v>
      </c>
      <c r="R69" s="113"/>
      <c r="S69" s="229"/>
      <c r="T69" s="229"/>
      <c r="U69" s="229"/>
      <c r="V69" s="229"/>
      <c r="W69" s="229"/>
      <c r="X69" s="229"/>
    </row>
    <row r="70" spans="1:24" s="257" customFormat="1" ht="26.25" customHeight="1" x14ac:dyDescent="0.25">
      <c r="A70" s="7"/>
      <c r="B70" s="8"/>
      <c r="C70" s="209"/>
      <c r="D70" s="400"/>
      <c r="E70" s="1083"/>
      <c r="F70" s="1157"/>
      <c r="G70" s="487"/>
      <c r="H70" s="499"/>
      <c r="I70" s="175"/>
      <c r="J70" s="43"/>
      <c r="K70" s="48"/>
      <c r="L70" s="43"/>
      <c r="M70" s="43"/>
      <c r="N70" s="379" t="s">
        <v>156</v>
      </c>
      <c r="O70" s="97">
        <v>80</v>
      </c>
      <c r="P70" s="279">
        <v>80</v>
      </c>
      <c r="Q70" s="279">
        <v>80</v>
      </c>
      <c r="R70" s="113"/>
      <c r="S70" s="229"/>
      <c r="T70" s="229"/>
      <c r="U70" s="229"/>
      <c r="V70" s="229"/>
      <c r="W70" s="229"/>
      <c r="X70" s="229"/>
    </row>
    <row r="71" spans="1:24" s="257" customFormat="1" ht="27.75" customHeight="1" x14ac:dyDescent="0.25">
      <c r="A71" s="7"/>
      <c r="B71" s="8"/>
      <c r="C71" s="209"/>
      <c r="D71" s="408"/>
      <c r="E71" s="471"/>
      <c r="F71" s="331"/>
      <c r="G71" s="330"/>
      <c r="H71" s="500"/>
      <c r="I71" s="75"/>
      <c r="J71" s="47"/>
      <c r="K71" s="50"/>
      <c r="L71" s="47"/>
      <c r="M71" s="47"/>
      <c r="N71" s="483" t="s">
        <v>153</v>
      </c>
      <c r="O71" s="98"/>
      <c r="P71" s="95"/>
      <c r="Q71" s="95"/>
      <c r="R71" s="114"/>
      <c r="S71" s="229"/>
      <c r="T71" s="229"/>
      <c r="U71" s="229"/>
      <c r="V71" s="229"/>
      <c r="W71" s="229"/>
      <c r="X71" s="229"/>
    </row>
    <row r="72" spans="1:24" s="257" customFormat="1" ht="28.5" customHeight="1" x14ac:dyDescent="0.25">
      <c r="A72" s="1121"/>
      <c r="B72" s="1124"/>
      <c r="C72" s="1297"/>
      <c r="D72" s="211" t="s">
        <v>36</v>
      </c>
      <c r="E72" s="1131" t="s">
        <v>177</v>
      </c>
      <c r="F72" s="237" t="s">
        <v>39</v>
      </c>
      <c r="G72" s="1134">
        <v>5</v>
      </c>
      <c r="H72" s="1292" t="s">
        <v>59</v>
      </c>
      <c r="I72" s="238" t="s">
        <v>42</v>
      </c>
      <c r="J72" s="129">
        <f>68.4-43.3</f>
        <v>25.100000000000009</v>
      </c>
      <c r="K72" s="69"/>
      <c r="L72" s="46"/>
      <c r="M72" s="46"/>
      <c r="N72" s="747" t="s">
        <v>93</v>
      </c>
      <c r="O72" s="225">
        <v>100</v>
      </c>
      <c r="P72" s="444"/>
      <c r="Q72" s="444"/>
      <c r="R72" s="121"/>
      <c r="S72" s="229"/>
      <c r="T72" s="229"/>
      <c r="U72" s="229"/>
      <c r="V72" s="229"/>
      <c r="W72" s="229"/>
      <c r="X72" s="229"/>
    </row>
    <row r="73" spans="1:24" s="257" customFormat="1" ht="15.75" customHeight="1" x14ac:dyDescent="0.25">
      <c r="A73" s="1122"/>
      <c r="B73" s="1125"/>
      <c r="C73" s="1341"/>
      <c r="D73" s="213"/>
      <c r="E73" s="1132"/>
      <c r="F73" s="1144" t="s">
        <v>61</v>
      </c>
      <c r="G73" s="1135"/>
      <c r="H73" s="1360"/>
      <c r="I73" s="131" t="s">
        <v>108</v>
      </c>
      <c r="J73" s="124">
        <f>267.5-28</f>
        <v>239.5</v>
      </c>
      <c r="K73" s="42"/>
      <c r="L73" s="43"/>
      <c r="M73" s="43"/>
      <c r="N73" s="990" t="s">
        <v>88</v>
      </c>
      <c r="O73" s="255">
        <v>1</v>
      </c>
      <c r="P73" s="315"/>
      <c r="Q73" s="315"/>
      <c r="R73" s="251"/>
      <c r="S73" s="229"/>
      <c r="T73" s="229"/>
      <c r="U73" s="229"/>
      <c r="V73" s="229"/>
      <c r="W73" s="229"/>
      <c r="X73" s="229"/>
    </row>
    <row r="74" spans="1:24" s="257" customFormat="1" ht="13.5" customHeight="1" x14ac:dyDescent="0.25">
      <c r="A74" s="1123"/>
      <c r="B74" s="1126"/>
      <c r="C74" s="1342"/>
      <c r="D74" s="213"/>
      <c r="E74" s="1132"/>
      <c r="F74" s="1145"/>
      <c r="G74" s="1135"/>
      <c r="H74" s="1360"/>
      <c r="I74" s="131" t="s">
        <v>106</v>
      </c>
      <c r="J74" s="124">
        <v>45.6</v>
      </c>
      <c r="K74" s="42"/>
      <c r="L74" s="43"/>
      <c r="M74" s="43"/>
      <c r="N74" s="1290" t="s">
        <v>191</v>
      </c>
      <c r="O74" s="255"/>
      <c r="P74" s="315"/>
      <c r="Q74" s="315"/>
      <c r="R74" s="251"/>
      <c r="S74" s="229"/>
      <c r="T74" s="229"/>
      <c r="U74" s="229"/>
      <c r="V74" s="229"/>
      <c r="W74" s="229"/>
      <c r="X74" s="229"/>
    </row>
    <row r="75" spans="1:24" s="257" customFormat="1" ht="13.5" customHeight="1" x14ac:dyDescent="0.25">
      <c r="A75" s="1123"/>
      <c r="B75" s="1126"/>
      <c r="C75" s="1342"/>
      <c r="D75" s="213"/>
      <c r="E75" s="1132"/>
      <c r="F75" s="1145"/>
      <c r="G75" s="1135"/>
      <c r="H75" s="1360"/>
      <c r="I75" s="131" t="s">
        <v>30</v>
      </c>
      <c r="J75" s="124">
        <v>150</v>
      </c>
      <c r="K75" s="42"/>
      <c r="L75" s="43"/>
      <c r="M75" s="43"/>
      <c r="N75" s="1316"/>
      <c r="O75" s="255"/>
      <c r="P75" s="315"/>
      <c r="Q75" s="315"/>
      <c r="R75" s="251"/>
      <c r="S75" s="229"/>
      <c r="T75" s="229"/>
      <c r="U75" s="229"/>
      <c r="V75" s="229"/>
      <c r="W75" s="229"/>
      <c r="X75" s="229"/>
    </row>
    <row r="76" spans="1:24" s="257" customFormat="1" ht="15.75" customHeight="1" x14ac:dyDescent="0.25">
      <c r="A76" s="1123"/>
      <c r="B76" s="1126"/>
      <c r="C76" s="1342"/>
      <c r="D76" s="212"/>
      <c r="E76" s="1133"/>
      <c r="F76" s="1146"/>
      <c r="G76" s="1135"/>
      <c r="H76" s="1360"/>
      <c r="I76" s="131" t="s">
        <v>147</v>
      </c>
      <c r="J76" s="993">
        <v>28</v>
      </c>
      <c r="K76" s="70"/>
      <c r="L76" s="47"/>
      <c r="M76" s="47"/>
      <c r="N76" s="223"/>
      <c r="O76" s="249"/>
      <c r="P76" s="317"/>
      <c r="Q76" s="317"/>
      <c r="R76" s="122"/>
      <c r="S76" s="229"/>
      <c r="T76" s="229"/>
      <c r="U76" s="229"/>
      <c r="V76" s="229"/>
      <c r="W76" s="229"/>
      <c r="X76" s="229"/>
    </row>
    <row r="77" spans="1:24" s="25" customFormat="1" ht="15" customHeight="1" x14ac:dyDescent="0.25">
      <c r="A77" s="1123"/>
      <c r="B77" s="1126"/>
      <c r="C77" s="1343"/>
      <c r="D77" s="1305" t="s">
        <v>38</v>
      </c>
      <c r="E77" s="1147" t="s">
        <v>128</v>
      </c>
      <c r="F77" s="473" t="s">
        <v>39</v>
      </c>
      <c r="G77" s="1364" t="s">
        <v>180</v>
      </c>
      <c r="H77" s="1345"/>
      <c r="I77" s="312" t="s">
        <v>42</v>
      </c>
      <c r="J77" s="46">
        <f>105.3+112.6</f>
        <v>217.89999999999998</v>
      </c>
      <c r="K77" s="71">
        <f>238.7</f>
        <v>238.7</v>
      </c>
      <c r="L77" s="46">
        <v>1084.7</v>
      </c>
      <c r="M77" s="46"/>
      <c r="N77" s="1151" t="s">
        <v>130</v>
      </c>
      <c r="O77" s="822">
        <v>30</v>
      </c>
      <c r="P77" s="165">
        <v>70</v>
      </c>
      <c r="Q77" s="165">
        <v>100</v>
      </c>
      <c r="R77" s="426"/>
      <c r="S77" s="229"/>
      <c r="T77" s="229"/>
      <c r="U77" s="229"/>
      <c r="V77" s="229"/>
      <c r="W77" s="229"/>
      <c r="X77" s="229"/>
    </row>
    <row r="78" spans="1:24" s="25" customFormat="1" ht="14.25" customHeight="1" x14ac:dyDescent="0.25">
      <c r="A78" s="1123"/>
      <c r="B78" s="1126"/>
      <c r="C78" s="1343"/>
      <c r="D78" s="1306"/>
      <c r="E78" s="1148"/>
      <c r="F78" s="563"/>
      <c r="G78" s="1150"/>
      <c r="H78" s="1345"/>
      <c r="I78" s="313" t="s">
        <v>106</v>
      </c>
      <c r="J78" s="43">
        <v>20.6</v>
      </c>
      <c r="K78" s="48"/>
      <c r="L78" s="43"/>
      <c r="M78" s="43"/>
      <c r="N78" s="1365"/>
      <c r="O78" s="255"/>
      <c r="P78" s="309"/>
      <c r="Q78" s="309"/>
      <c r="R78" s="486"/>
      <c r="S78" s="229"/>
      <c r="T78" s="229"/>
      <c r="U78" s="229"/>
      <c r="V78" s="229"/>
      <c r="W78" s="229"/>
      <c r="X78" s="229"/>
    </row>
    <row r="79" spans="1:24" s="25" customFormat="1" ht="16.5" customHeight="1" x14ac:dyDescent="0.25">
      <c r="A79" s="1123"/>
      <c r="B79" s="1126"/>
      <c r="C79" s="1343"/>
      <c r="D79" s="1306"/>
      <c r="E79" s="1148"/>
      <c r="F79" s="1344" t="s">
        <v>129</v>
      </c>
      <c r="G79" s="1150"/>
      <c r="H79" s="1345"/>
      <c r="I79" s="313" t="s">
        <v>63</v>
      </c>
      <c r="J79" s="43">
        <v>54.4</v>
      </c>
      <c r="K79" s="48">
        <v>54.3</v>
      </c>
      <c r="L79" s="43"/>
      <c r="M79" s="43"/>
      <c r="N79" s="1366"/>
      <c r="O79" s="255"/>
      <c r="P79" s="309"/>
      <c r="Q79" s="309"/>
      <c r="R79" s="486"/>
      <c r="S79" s="229"/>
      <c r="T79" s="229"/>
      <c r="U79" s="229"/>
      <c r="V79" s="229"/>
      <c r="W79" s="229"/>
      <c r="X79" s="229"/>
    </row>
    <row r="80" spans="1:24" s="25" customFormat="1" ht="15.75" customHeight="1" x14ac:dyDescent="0.25">
      <c r="A80" s="1123"/>
      <c r="B80" s="1126"/>
      <c r="C80" s="1343"/>
      <c r="D80" s="1306"/>
      <c r="E80" s="1148"/>
      <c r="F80" s="1138"/>
      <c r="G80" s="1150"/>
      <c r="H80" s="1345"/>
      <c r="I80" s="313" t="s">
        <v>108</v>
      </c>
      <c r="J80" s="124">
        <v>615.79999999999995</v>
      </c>
      <c r="K80" s="48">
        <v>615.79999999999995</v>
      </c>
      <c r="L80" s="43"/>
      <c r="M80" s="43"/>
      <c r="N80" s="1366"/>
      <c r="O80" s="255"/>
      <c r="P80" s="309"/>
      <c r="Q80" s="309"/>
      <c r="R80" s="486"/>
      <c r="S80" s="229"/>
      <c r="T80" s="229"/>
      <c r="U80" s="229"/>
      <c r="V80" s="229"/>
      <c r="W80" s="229"/>
      <c r="X80" s="229"/>
    </row>
    <row r="81" spans="1:24" s="25" customFormat="1" ht="15.75" customHeight="1" x14ac:dyDescent="0.25">
      <c r="A81" s="1123"/>
      <c r="B81" s="1126"/>
      <c r="C81" s="1343"/>
      <c r="D81" s="1307"/>
      <c r="E81" s="1149"/>
      <c r="F81" s="1138"/>
      <c r="G81" s="1150"/>
      <c r="H81" s="1345"/>
      <c r="I81" s="314" t="s">
        <v>30</v>
      </c>
      <c r="J81" s="47"/>
      <c r="K81" s="50"/>
      <c r="L81" s="47"/>
      <c r="M81" s="47"/>
      <c r="N81" s="316"/>
      <c r="O81" s="249"/>
      <c r="P81" s="273"/>
      <c r="Q81" s="273"/>
      <c r="R81" s="431"/>
      <c r="S81" s="229"/>
      <c r="T81" s="229"/>
      <c r="U81" s="229"/>
      <c r="V81" s="229"/>
      <c r="W81" s="229"/>
      <c r="X81" s="229"/>
    </row>
    <row r="82" spans="1:24" s="25" customFormat="1" ht="13.5" customHeight="1" x14ac:dyDescent="0.25">
      <c r="A82" s="1123"/>
      <c r="B82" s="1126"/>
      <c r="C82" s="1343"/>
      <c r="D82" s="405" t="s">
        <v>19</v>
      </c>
      <c r="E82" s="1072" t="s">
        <v>178</v>
      </c>
      <c r="F82" s="510"/>
      <c r="G82" s="505"/>
      <c r="H82" s="501"/>
      <c r="I82" s="43" t="s">
        <v>106</v>
      </c>
      <c r="J82" s="43">
        <v>95.7</v>
      </c>
      <c r="K82" s="48"/>
      <c r="L82" s="43"/>
      <c r="M82" s="43"/>
      <c r="N82" s="1162" t="s">
        <v>131</v>
      </c>
      <c r="O82" s="994" t="s">
        <v>217</v>
      </c>
      <c r="P82" s="309">
        <v>80</v>
      </c>
      <c r="Q82" s="309">
        <v>100</v>
      </c>
      <c r="R82" s="486"/>
      <c r="S82" s="229"/>
      <c r="T82" s="229"/>
      <c r="U82" s="229"/>
      <c r="V82" s="229"/>
      <c r="W82" s="229"/>
      <c r="X82" s="229"/>
    </row>
    <row r="83" spans="1:24" s="25" customFormat="1" ht="13.5" customHeight="1" x14ac:dyDescent="0.25">
      <c r="A83" s="1123"/>
      <c r="B83" s="1126"/>
      <c r="C83" s="1343"/>
      <c r="D83" s="405"/>
      <c r="E83" s="1072"/>
      <c r="F83" s="1344"/>
      <c r="G83" s="505"/>
      <c r="H83" s="501"/>
      <c r="I83" s="43" t="s">
        <v>42</v>
      </c>
      <c r="J83" s="43">
        <v>81.2</v>
      </c>
      <c r="K83" s="48">
        <v>153.69999999999999</v>
      </c>
      <c r="L83" s="43">
        <v>76.900000000000006</v>
      </c>
      <c r="M83" s="43"/>
      <c r="N83" s="1162"/>
      <c r="O83" s="179"/>
      <c r="P83" s="309"/>
      <c r="Q83" s="309"/>
      <c r="R83" s="486"/>
      <c r="S83" s="229"/>
      <c r="T83" s="229"/>
      <c r="U83" s="229"/>
      <c r="V83" s="229"/>
      <c r="W83" s="229"/>
      <c r="X83" s="229"/>
    </row>
    <row r="84" spans="1:24" s="25" customFormat="1" ht="16.5" customHeight="1" x14ac:dyDescent="0.25">
      <c r="A84" s="1123"/>
      <c r="B84" s="1126"/>
      <c r="C84" s="1343"/>
      <c r="D84" s="405"/>
      <c r="E84" s="1072"/>
      <c r="F84" s="1138"/>
      <c r="G84" s="505"/>
      <c r="H84" s="501"/>
      <c r="I84" s="124" t="s">
        <v>108</v>
      </c>
      <c r="J84" s="874">
        <f>343.6-320</f>
        <v>23.600000000000023</v>
      </c>
      <c r="K84" s="252">
        <f>320.1+320</f>
        <v>640.1</v>
      </c>
      <c r="L84" s="43">
        <v>160.19999999999999</v>
      </c>
      <c r="M84" s="43"/>
      <c r="N84" s="1102"/>
      <c r="O84" s="179"/>
      <c r="P84" s="309"/>
      <c r="Q84" s="309"/>
      <c r="R84" s="486"/>
      <c r="S84" s="229"/>
      <c r="T84" s="229"/>
      <c r="U84" s="229"/>
      <c r="V84" s="229"/>
      <c r="W84" s="229"/>
      <c r="X84" s="229"/>
    </row>
    <row r="85" spans="1:24" s="25" customFormat="1" ht="15" customHeight="1" x14ac:dyDescent="0.25">
      <c r="A85" s="1123"/>
      <c r="B85" s="1126"/>
      <c r="C85" s="1343"/>
      <c r="D85" s="530"/>
      <c r="E85" s="1072"/>
      <c r="F85" s="1138"/>
      <c r="G85" s="540"/>
      <c r="H85" s="537"/>
      <c r="I85" s="43" t="s">
        <v>63</v>
      </c>
      <c r="J85" s="874">
        <f>30.3-28</f>
        <v>2.3000000000000007</v>
      </c>
      <c r="K85" s="252">
        <f>28.2+28.2</f>
        <v>56.4</v>
      </c>
      <c r="L85" s="43">
        <v>14.1</v>
      </c>
      <c r="M85" s="43"/>
      <c r="N85" s="767"/>
      <c r="O85" s="179"/>
      <c r="P85" s="309"/>
      <c r="Q85" s="309"/>
      <c r="R85" s="486"/>
      <c r="S85" s="229"/>
      <c r="T85" s="229"/>
      <c r="U85" s="229"/>
      <c r="V85" s="229"/>
      <c r="W85" s="229"/>
      <c r="X85" s="229"/>
    </row>
    <row r="86" spans="1:24" s="25" customFormat="1" ht="14.25" customHeight="1" x14ac:dyDescent="0.25">
      <c r="A86" s="1123"/>
      <c r="B86" s="1126"/>
      <c r="C86" s="1343"/>
      <c r="D86" s="405"/>
      <c r="E86" s="1072"/>
      <c r="F86" s="1138"/>
      <c r="G86" s="505"/>
      <c r="H86" s="501"/>
      <c r="I86" s="314" t="s">
        <v>30</v>
      </c>
      <c r="J86" s="547"/>
      <c r="K86" s="47"/>
      <c r="L86" s="43"/>
      <c r="M86" s="43"/>
      <c r="N86" s="771"/>
      <c r="O86" s="770"/>
      <c r="P86" s="309"/>
      <c r="Q86" s="309"/>
      <c r="R86" s="486"/>
      <c r="S86" s="229"/>
      <c r="T86" s="229"/>
      <c r="U86" s="229"/>
      <c r="V86" s="229"/>
      <c r="W86" s="229"/>
      <c r="X86" s="229"/>
    </row>
    <row r="87" spans="1:24" s="257" customFormat="1" ht="17.25" customHeight="1" x14ac:dyDescent="0.25">
      <c r="A87" s="1123"/>
      <c r="B87" s="1126"/>
      <c r="C87" s="1343"/>
      <c r="D87" s="67" t="s">
        <v>132</v>
      </c>
      <c r="E87" s="1103" t="s">
        <v>82</v>
      </c>
      <c r="F87" s="716" t="s">
        <v>39</v>
      </c>
      <c r="G87" s="504">
        <v>5</v>
      </c>
      <c r="H87" s="1292" t="s">
        <v>98</v>
      </c>
      <c r="I87" s="241" t="s">
        <v>42</v>
      </c>
      <c r="J87" s="46"/>
      <c r="K87" s="71"/>
      <c r="L87" s="46"/>
      <c r="M87" s="46"/>
      <c r="N87" s="1179" t="s">
        <v>192</v>
      </c>
      <c r="O87" s="180">
        <v>100</v>
      </c>
      <c r="P87" s="180"/>
      <c r="Q87" s="221"/>
      <c r="R87" s="176"/>
      <c r="S87" s="229"/>
      <c r="T87" s="229"/>
      <c r="U87" s="229"/>
      <c r="V87" s="229"/>
      <c r="W87" s="229"/>
      <c r="X87" s="229"/>
    </row>
    <row r="88" spans="1:24" s="257" customFormat="1" ht="15.75" customHeight="1" x14ac:dyDescent="0.25">
      <c r="A88" s="1123"/>
      <c r="B88" s="1126"/>
      <c r="C88" s="1343"/>
      <c r="D88" s="764"/>
      <c r="E88" s="1068"/>
      <c r="F88" s="1295" t="s">
        <v>133</v>
      </c>
      <c r="G88" s="765"/>
      <c r="H88" s="1293"/>
      <c r="I88" s="175" t="s">
        <v>35</v>
      </c>
      <c r="J88" s="43"/>
      <c r="K88" s="48"/>
      <c r="L88" s="43"/>
      <c r="M88" s="43"/>
      <c r="N88" s="1162"/>
      <c r="O88" s="88"/>
      <c r="P88" s="88"/>
      <c r="Q88" s="84"/>
      <c r="R88" s="134"/>
      <c r="S88" s="229"/>
      <c r="T88" s="229"/>
      <c r="U88" s="229"/>
      <c r="V88" s="229"/>
      <c r="W88" s="229"/>
      <c r="X88" s="229"/>
    </row>
    <row r="89" spans="1:24" s="257" customFormat="1" ht="21" customHeight="1" x14ac:dyDescent="0.25">
      <c r="A89" s="1123"/>
      <c r="B89" s="1126"/>
      <c r="C89" s="1343"/>
      <c r="D89" s="40"/>
      <c r="E89" s="1139"/>
      <c r="F89" s="1296"/>
      <c r="G89" s="766"/>
      <c r="H89" s="1294"/>
      <c r="I89" s="75" t="s">
        <v>106</v>
      </c>
      <c r="J89" s="47">
        <f>20-6.5</f>
        <v>13.5</v>
      </c>
      <c r="K89" s="50"/>
      <c r="L89" s="50"/>
      <c r="M89" s="50"/>
      <c r="N89" s="1180"/>
      <c r="O89" s="98"/>
      <c r="P89" s="98"/>
      <c r="Q89" s="95"/>
      <c r="R89" s="114"/>
      <c r="S89" s="229"/>
      <c r="T89" s="229"/>
      <c r="U89" s="229"/>
      <c r="V89" s="229"/>
      <c r="W89" s="229"/>
      <c r="X89" s="229"/>
    </row>
    <row r="90" spans="1:24" s="257" customFormat="1" ht="18" customHeight="1" thickBot="1" x14ac:dyDescent="0.3">
      <c r="A90" s="1123"/>
      <c r="B90" s="1126"/>
      <c r="C90" s="1343"/>
      <c r="D90" s="214"/>
      <c r="E90" s="332"/>
      <c r="F90" s="215"/>
      <c r="G90" s="506"/>
      <c r="H90" s="333"/>
      <c r="I90" s="289" t="s">
        <v>27</v>
      </c>
      <c r="J90" s="127">
        <f>SUM(J63:J89)</f>
        <v>1873.3999999999999</v>
      </c>
      <c r="K90" s="127">
        <f t="shared" ref="K90" si="12">SUM(K63:K86)</f>
        <v>2091.7000000000003</v>
      </c>
      <c r="L90" s="127">
        <f>SUM(L63:L86)</f>
        <v>1585.9</v>
      </c>
      <c r="M90" s="127">
        <f>SUM(M63:M86)</f>
        <v>0</v>
      </c>
      <c r="N90" s="474"/>
      <c r="O90" s="462"/>
      <c r="P90" s="463"/>
      <c r="Q90" s="463"/>
      <c r="R90" s="464"/>
      <c r="S90" s="229"/>
      <c r="T90" s="229"/>
      <c r="U90" s="229"/>
      <c r="V90" s="229"/>
      <c r="W90" s="229"/>
      <c r="X90" s="229"/>
    </row>
    <row r="91" spans="1:24" s="257" customFormat="1" ht="15.75" customHeight="1" x14ac:dyDescent="0.25">
      <c r="A91" s="31" t="s">
        <v>14</v>
      </c>
      <c r="B91" s="32" t="s">
        <v>36</v>
      </c>
      <c r="C91" s="217" t="s">
        <v>36</v>
      </c>
      <c r="D91" s="572"/>
      <c r="E91" s="1158" t="s">
        <v>122</v>
      </c>
      <c r="F91" s="1170" t="s">
        <v>186</v>
      </c>
      <c r="G91" s="569">
        <v>5</v>
      </c>
      <c r="H91" s="571"/>
      <c r="I91" s="576"/>
      <c r="J91" s="577"/>
      <c r="K91" s="577"/>
      <c r="L91" s="577"/>
      <c r="M91" s="577"/>
      <c r="N91" s="284"/>
      <c r="O91" s="285"/>
      <c r="P91" s="284"/>
      <c r="Q91" s="952"/>
      <c r="R91" s="960"/>
      <c r="S91" s="229"/>
      <c r="T91" s="229"/>
      <c r="U91" s="229"/>
      <c r="V91" s="229"/>
      <c r="W91" s="229"/>
      <c r="X91" s="229"/>
    </row>
    <row r="92" spans="1:24" s="257" customFormat="1" ht="10.5" customHeight="1" x14ac:dyDescent="0.25">
      <c r="A92" s="615"/>
      <c r="B92" s="618"/>
      <c r="C92" s="619"/>
      <c r="D92" s="144"/>
      <c r="E92" s="1168"/>
      <c r="F92" s="1171"/>
      <c r="G92" s="620"/>
      <c r="H92" s="616"/>
      <c r="I92" s="574"/>
      <c r="J92" s="575"/>
      <c r="K92" s="575"/>
      <c r="L92" s="575"/>
      <c r="M92" s="575"/>
      <c r="N92" s="282"/>
      <c r="O92" s="617"/>
      <c r="P92" s="282"/>
      <c r="Q92" s="950"/>
      <c r="R92" s="959"/>
      <c r="S92" s="229"/>
      <c r="T92" s="229"/>
      <c r="U92" s="229"/>
      <c r="V92" s="229"/>
      <c r="W92" s="229"/>
      <c r="X92" s="229"/>
    </row>
    <row r="93" spans="1:24" s="257" customFormat="1" ht="10.5" customHeight="1" x14ac:dyDescent="0.25">
      <c r="A93" s="564"/>
      <c r="B93" s="567"/>
      <c r="C93" s="568"/>
      <c r="D93" s="144"/>
      <c r="E93" s="1169"/>
      <c r="F93" s="1171"/>
      <c r="G93" s="570"/>
      <c r="H93" s="565"/>
      <c r="I93" s="574"/>
      <c r="J93" s="575"/>
      <c r="K93" s="575"/>
      <c r="L93" s="575"/>
      <c r="M93" s="575"/>
      <c r="N93" s="282"/>
      <c r="O93" s="566"/>
      <c r="P93" s="282"/>
      <c r="Q93" s="950"/>
      <c r="R93" s="959"/>
      <c r="S93" s="229"/>
      <c r="T93" s="229"/>
      <c r="U93" s="229"/>
      <c r="V93" s="229"/>
      <c r="W93" s="229"/>
      <c r="X93" s="229"/>
    </row>
    <row r="94" spans="1:24" s="257" customFormat="1" ht="15.75" customHeight="1" x14ac:dyDescent="0.25">
      <c r="A94" s="395"/>
      <c r="B94" s="397"/>
      <c r="C94" s="429"/>
      <c r="D94" s="146" t="s">
        <v>14</v>
      </c>
      <c r="E94" s="1172" t="s">
        <v>101</v>
      </c>
      <c r="F94" s="1144" t="s">
        <v>58</v>
      </c>
      <c r="G94" s="504"/>
      <c r="H94" s="1327" t="s">
        <v>59</v>
      </c>
      <c r="I94" s="241" t="s">
        <v>42</v>
      </c>
      <c r="J94" s="46">
        <f>13.8+58.7</f>
        <v>72.5</v>
      </c>
      <c r="K94" s="46"/>
      <c r="L94" s="46"/>
      <c r="M94" s="46"/>
      <c r="N94" s="1174" t="s">
        <v>134</v>
      </c>
      <c r="O94" s="93">
        <v>100</v>
      </c>
      <c r="P94" s="198"/>
      <c r="Q94" s="165"/>
      <c r="R94" s="426"/>
      <c r="S94" s="229"/>
      <c r="T94" s="229"/>
      <c r="U94" s="229"/>
      <c r="V94" s="229"/>
      <c r="W94" s="229"/>
      <c r="X94" s="229"/>
    </row>
    <row r="95" spans="1:24" s="257" customFormat="1" ht="15.75" customHeight="1" x14ac:dyDescent="0.25">
      <c r="A95" s="395"/>
      <c r="B95" s="397"/>
      <c r="C95" s="429"/>
      <c r="D95" s="430"/>
      <c r="E95" s="1002"/>
      <c r="F95" s="1145"/>
      <c r="G95" s="487"/>
      <c r="H95" s="1323"/>
      <c r="I95" s="175" t="s">
        <v>106</v>
      </c>
      <c r="J95" s="43">
        <v>65.400000000000006</v>
      </c>
      <c r="K95" s="43"/>
      <c r="L95" s="43"/>
      <c r="M95" s="43"/>
      <c r="N95" s="1175"/>
      <c r="O95" s="255"/>
      <c r="P95" s="195"/>
      <c r="Q95" s="309"/>
      <c r="R95" s="486"/>
      <c r="S95" s="229"/>
      <c r="T95" s="229"/>
      <c r="U95" s="229"/>
      <c r="V95" s="229"/>
      <c r="W95" s="229"/>
      <c r="X95" s="229"/>
    </row>
    <row r="96" spans="1:24" s="257" customFormat="1" ht="15.75" customHeight="1" x14ac:dyDescent="0.25">
      <c r="A96" s="598"/>
      <c r="B96" s="599"/>
      <c r="C96" s="600"/>
      <c r="D96" s="430"/>
      <c r="E96" s="1002"/>
      <c r="F96" s="1145"/>
      <c r="G96" s="597"/>
      <c r="H96" s="1323"/>
      <c r="I96" s="175" t="s">
        <v>108</v>
      </c>
      <c r="J96" s="874">
        <f>208.6-37.8</f>
        <v>170.8</v>
      </c>
      <c r="K96" s="43"/>
      <c r="L96" s="43"/>
      <c r="M96" s="43"/>
      <c r="N96" s="1175"/>
      <c r="O96" s="255"/>
      <c r="P96" s="195"/>
      <c r="Q96" s="309"/>
      <c r="R96" s="486"/>
      <c r="S96" s="229"/>
      <c r="T96" s="229"/>
      <c r="U96" s="229"/>
      <c r="V96" s="229"/>
      <c r="W96" s="229"/>
      <c r="X96" s="229"/>
    </row>
    <row r="97" spans="1:24" s="257" customFormat="1" ht="15.75" customHeight="1" x14ac:dyDescent="0.25">
      <c r="A97" s="861"/>
      <c r="B97" s="867"/>
      <c r="C97" s="871"/>
      <c r="D97" s="430"/>
      <c r="E97" s="1002"/>
      <c r="F97" s="1145"/>
      <c r="G97" s="869"/>
      <c r="H97" s="1323"/>
      <c r="I97" s="175" t="s">
        <v>147</v>
      </c>
      <c r="J97" s="874">
        <v>37.799999999999997</v>
      </c>
      <c r="K97" s="43"/>
      <c r="L97" s="43"/>
      <c r="M97" s="43"/>
      <c r="N97" s="1175"/>
      <c r="O97" s="255"/>
      <c r="P97" s="195"/>
      <c r="Q97" s="309"/>
      <c r="R97" s="486"/>
      <c r="S97" s="229"/>
      <c r="T97" s="229"/>
      <c r="U97" s="229"/>
      <c r="V97" s="229"/>
      <c r="W97" s="229"/>
      <c r="X97" s="229"/>
    </row>
    <row r="98" spans="1:24" s="257" customFormat="1" ht="16.5" customHeight="1" x14ac:dyDescent="0.25">
      <c r="A98" s="395"/>
      <c r="B98" s="397"/>
      <c r="C98" s="429"/>
      <c r="D98" s="408"/>
      <c r="E98" s="1117"/>
      <c r="F98" s="1349"/>
      <c r="G98" s="487"/>
      <c r="H98" s="1348"/>
      <c r="I98" s="139" t="s">
        <v>41</v>
      </c>
      <c r="J98" s="47"/>
      <c r="K98" s="47"/>
      <c r="L98" s="47"/>
      <c r="M98" s="47"/>
      <c r="N98" s="1176"/>
      <c r="O98" s="249"/>
      <c r="P98" s="248"/>
      <c r="Q98" s="273"/>
      <c r="R98" s="431"/>
      <c r="S98" s="229"/>
      <c r="T98" s="229"/>
      <c r="U98" s="229"/>
      <c r="V98" s="229"/>
      <c r="W98" s="229"/>
      <c r="X98" s="229"/>
    </row>
    <row r="99" spans="1:24" s="257" customFormat="1" ht="16.5" customHeight="1" x14ac:dyDescent="0.2">
      <c r="A99" s="395"/>
      <c r="B99" s="397"/>
      <c r="C99" s="429"/>
      <c r="D99" s="147" t="s">
        <v>28</v>
      </c>
      <c r="E99" s="1002" t="s">
        <v>125</v>
      </c>
      <c r="F99" s="301"/>
      <c r="G99" s="487"/>
      <c r="H99" s="1293" t="s">
        <v>174</v>
      </c>
      <c r="I99" s="138" t="s">
        <v>30</v>
      </c>
      <c r="J99" s="43"/>
      <c r="K99" s="43"/>
      <c r="L99" s="43">
        <v>30.6</v>
      </c>
      <c r="M99" s="43"/>
      <c r="N99" s="306" t="s">
        <v>83</v>
      </c>
      <c r="O99" s="225"/>
      <c r="P99" s="437"/>
      <c r="Q99" s="437">
        <v>1</v>
      </c>
      <c r="R99" s="307">
        <v>1</v>
      </c>
      <c r="S99" s="229"/>
      <c r="T99" s="229"/>
      <c r="U99" s="229"/>
      <c r="V99" s="229"/>
      <c r="W99" s="229"/>
      <c r="X99" s="229"/>
    </row>
    <row r="100" spans="1:24" s="257" customFormat="1" ht="15" customHeight="1" x14ac:dyDescent="0.2">
      <c r="A100" s="395"/>
      <c r="B100" s="397"/>
      <c r="C100" s="429"/>
      <c r="D100" s="147"/>
      <c r="E100" s="1002"/>
      <c r="F100" s="301"/>
      <c r="G100" s="487"/>
      <c r="H100" s="1293"/>
      <c r="I100" s="138" t="s">
        <v>42</v>
      </c>
      <c r="J100" s="43"/>
      <c r="K100" s="43"/>
      <c r="L100" s="43"/>
      <c r="M100" s="43"/>
      <c r="N100" s="308"/>
      <c r="O100" s="255"/>
      <c r="P100" s="309"/>
      <c r="Q100" s="309"/>
      <c r="R100" s="486"/>
      <c r="S100" s="229"/>
      <c r="T100" s="229"/>
      <c r="U100" s="229"/>
      <c r="V100" s="229"/>
      <c r="W100" s="229"/>
      <c r="X100" s="229"/>
    </row>
    <row r="101" spans="1:24" s="257" customFormat="1" ht="16.5" customHeight="1" x14ac:dyDescent="0.2">
      <c r="A101" s="395"/>
      <c r="B101" s="397"/>
      <c r="C101" s="429"/>
      <c r="D101" s="218"/>
      <c r="E101" s="1188"/>
      <c r="F101" s="301"/>
      <c r="G101" s="487"/>
      <c r="H101" s="1301"/>
      <c r="I101" s="139" t="s">
        <v>35</v>
      </c>
      <c r="J101" s="47"/>
      <c r="K101" s="47"/>
      <c r="L101" s="47"/>
      <c r="M101" s="47"/>
      <c r="N101" s="621"/>
      <c r="O101" s="253"/>
      <c r="P101" s="273"/>
      <c r="Q101" s="273"/>
      <c r="R101" s="431"/>
      <c r="S101" s="229"/>
      <c r="T101" s="229"/>
      <c r="U101" s="229"/>
      <c r="V101" s="229"/>
      <c r="W101" s="229"/>
      <c r="X101" s="229"/>
    </row>
    <row r="102" spans="1:24" s="25" customFormat="1" ht="18" customHeight="1" x14ac:dyDescent="0.25">
      <c r="A102" s="226"/>
      <c r="B102" s="227"/>
      <c r="C102" s="233"/>
      <c r="D102" s="430" t="s">
        <v>36</v>
      </c>
      <c r="E102" s="1164" t="s">
        <v>120</v>
      </c>
      <c r="F102" s="228"/>
      <c r="G102" s="283"/>
      <c r="H102" s="1338" t="s">
        <v>118</v>
      </c>
      <c r="I102" s="43" t="s">
        <v>42</v>
      </c>
      <c r="J102" s="252"/>
      <c r="K102" s="48">
        <v>62</v>
      </c>
      <c r="L102" s="48">
        <v>0</v>
      </c>
      <c r="M102" s="48"/>
      <c r="N102" s="234" t="s">
        <v>96</v>
      </c>
      <c r="O102" s="235"/>
      <c r="P102" s="309">
        <v>1</v>
      </c>
      <c r="Q102" s="309"/>
      <c r="R102" s="486"/>
      <c r="S102" s="229"/>
      <c r="T102" s="229"/>
      <c r="U102" s="229"/>
      <c r="V102" s="229"/>
      <c r="W102" s="229"/>
      <c r="X102" s="229"/>
    </row>
    <row r="103" spans="1:24" s="25" customFormat="1" ht="18.75" customHeight="1" x14ac:dyDescent="0.25">
      <c r="A103" s="226"/>
      <c r="B103" s="227"/>
      <c r="C103" s="233"/>
      <c r="D103" s="246"/>
      <c r="E103" s="1165"/>
      <c r="F103" s="230"/>
      <c r="G103" s="283"/>
      <c r="H103" s="1338"/>
      <c r="I103" s="43" t="s">
        <v>119</v>
      </c>
      <c r="J103" s="252"/>
      <c r="K103" s="48"/>
      <c r="L103" s="48"/>
      <c r="M103" s="48"/>
      <c r="N103" s="1070" t="s">
        <v>121</v>
      </c>
      <c r="O103" s="310"/>
      <c r="P103" s="309"/>
      <c r="Q103" s="309"/>
      <c r="R103" s="486"/>
      <c r="S103" s="229"/>
      <c r="T103" s="229"/>
      <c r="U103" s="229"/>
      <c r="V103" s="229"/>
      <c r="W103" s="229"/>
      <c r="X103" s="229"/>
    </row>
    <row r="104" spans="1:24" s="25" customFormat="1" ht="27" customHeight="1" x14ac:dyDescent="0.25">
      <c r="A104" s="226"/>
      <c r="B104" s="227"/>
      <c r="C104" s="233"/>
      <c r="D104" s="247"/>
      <c r="E104" s="1166"/>
      <c r="F104" s="230"/>
      <c r="G104" s="283"/>
      <c r="H104" s="1339"/>
      <c r="I104" s="47"/>
      <c r="J104" s="578"/>
      <c r="K104" s="50"/>
      <c r="L104" s="50"/>
      <c r="M104" s="50"/>
      <c r="N104" s="1167"/>
      <c r="O104" s="216"/>
      <c r="P104" s="273"/>
      <c r="Q104" s="273"/>
      <c r="R104" s="431"/>
      <c r="S104" s="229"/>
      <c r="T104" s="229"/>
      <c r="U104" s="229"/>
      <c r="V104" s="229"/>
      <c r="W104" s="229"/>
      <c r="X104" s="229"/>
    </row>
    <row r="105" spans="1:24" s="25" customFormat="1" ht="18.75" customHeight="1" x14ac:dyDescent="0.25">
      <c r="A105" s="226"/>
      <c r="B105" s="227"/>
      <c r="C105" s="233"/>
      <c r="D105" s="430" t="s">
        <v>38</v>
      </c>
      <c r="E105" s="1164" t="s">
        <v>146</v>
      </c>
      <c r="F105" s="230"/>
      <c r="G105" s="283"/>
      <c r="H105" s="1338" t="s">
        <v>118</v>
      </c>
      <c r="I105" s="43" t="s">
        <v>42</v>
      </c>
      <c r="J105" s="252"/>
      <c r="K105" s="48"/>
      <c r="L105" s="48">
        <v>65</v>
      </c>
      <c r="M105" s="48"/>
      <c r="N105" s="234" t="s">
        <v>96</v>
      </c>
      <c r="O105" s="235"/>
      <c r="P105" s="309"/>
      <c r="Q105" s="309">
        <v>1</v>
      </c>
      <c r="R105" s="486">
        <v>1</v>
      </c>
      <c r="S105" s="229"/>
      <c r="T105" s="229"/>
      <c r="U105" s="229"/>
      <c r="V105" s="229"/>
      <c r="W105" s="229"/>
      <c r="X105" s="229"/>
    </row>
    <row r="106" spans="1:24" s="25" customFormat="1" ht="33.75" customHeight="1" x14ac:dyDescent="0.25">
      <c r="A106" s="226"/>
      <c r="B106" s="227"/>
      <c r="C106" s="233"/>
      <c r="D106" s="231"/>
      <c r="E106" s="1181"/>
      <c r="F106" s="230"/>
      <c r="G106" s="283"/>
      <c r="H106" s="1339"/>
      <c r="I106" s="47" t="s">
        <v>42</v>
      </c>
      <c r="J106" s="578"/>
      <c r="K106" s="50"/>
      <c r="L106" s="50"/>
      <c r="M106" s="50"/>
      <c r="N106" s="621"/>
      <c r="O106" s="248"/>
      <c r="P106" s="273"/>
      <c r="Q106" s="273"/>
      <c r="R106" s="431"/>
      <c r="S106" s="229"/>
      <c r="T106" s="229"/>
      <c r="U106" s="229"/>
      <c r="V106" s="229"/>
      <c r="W106" s="229"/>
      <c r="X106" s="229"/>
    </row>
    <row r="107" spans="1:24" s="25" customFormat="1" ht="18.75" customHeight="1" x14ac:dyDescent="0.25">
      <c r="A107" s="226"/>
      <c r="B107" s="227"/>
      <c r="C107" s="233"/>
      <c r="D107" s="430" t="s">
        <v>19</v>
      </c>
      <c r="E107" s="1164" t="s">
        <v>185</v>
      </c>
      <c r="F107" s="230"/>
      <c r="G107" s="283"/>
      <c r="H107" s="1338" t="s">
        <v>118</v>
      </c>
      <c r="I107" s="43" t="s">
        <v>42</v>
      </c>
      <c r="J107" s="252"/>
      <c r="K107" s="48">
        <v>15</v>
      </c>
      <c r="L107" s="48">
        <v>35</v>
      </c>
      <c r="M107" s="48"/>
      <c r="N107" s="234" t="s">
        <v>96</v>
      </c>
      <c r="O107" s="235"/>
      <c r="P107" s="309"/>
      <c r="Q107" s="309">
        <v>1</v>
      </c>
      <c r="R107" s="486">
        <v>1</v>
      </c>
      <c r="S107" s="229"/>
      <c r="T107" s="229"/>
      <c r="U107" s="229"/>
      <c r="V107" s="229"/>
      <c r="W107" s="229"/>
      <c r="X107" s="229"/>
    </row>
    <row r="108" spans="1:24" s="25" customFormat="1" ht="29.25" customHeight="1" x14ac:dyDescent="0.25">
      <c r="A108" s="226"/>
      <c r="B108" s="227"/>
      <c r="C108" s="233"/>
      <c r="D108" s="231"/>
      <c r="E108" s="1181"/>
      <c r="F108" s="232"/>
      <c r="G108" s="508"/>
      <c r="H108" s="1339"/>
      <c r="I108" s="47" t="s">
        <v>42</v>
      </c>
      <c r="J108" s="50"/>
      <c r="K108" s="50"/>
      <c r="L108" s="50"/>
      <c r="M108" s="50"/>
      <c r="N108" s="562"/>
      <c r="O108" s="248"/>
      <c r="P108" s="273"/>
      <c r="Q108" s="273"/>
      <c r="R108" s="431"/>
      <c r="S108" s="229"/>
      <c r="T108" s="229"/>
      <c r="U108" s="229"/>
      <c r="V108" s="229"/>
      <c r="W108" s="229"/>
      <c r="X108" s="229"/>
    </row>
    <row r="109" spans="1:24" s="257" customFormat="1" ht="18" customHeight="1" thickBot="1" x14ac:dyDescent="0.25">
      <c r="A109" s="403"/>
      <c r="B109" s="398"/>
      <c r="C109" s="201"/>
      <c r="D109" s="476"/>
      <c r="E109" s="465"/>
      <c r="F109" s="465"/>
      <c r="G109" s="480"/>
      <c r="H109" s="236"/>
      <c r="I109" s="289" t="s">
        <v>27</v>
      </c>
      <c r="J109" s="44">
        <f t="shared" ref="J109:K109" si="13">SUM(J94:J108)</f>
        <v>346.50000000000006</v>
      </c>
      <c r="K109" s="44">
        <f t="shared" si="13"/>
        <v>77</v>
      </c>
      <c r="L109" s="44">
        <f>SUM(L94:L108)</f>
        <v>130.6</v>
      </c>
      <c r="M109" s="44">
        <f>SUM(M94:M108)</f>
        <v>0</v>
      </c>
      <c r="N109" s="465"/>
      <c r="O109" s="477"/>
      <c r="P109" s="469"/>
      <c r="Q109" s="463"/>
      <c r="R109" s="464"/>
      <c r="S109" s="229"/>
      <c r="T109" s="229"/>
      <c r="U109" s="229"/>
      <c r="V109" s="229"/>
      <c r="W109" s="229"/>
      <c r="X109" s="229"/>
    </row>
    <row r="110" spans="1:24" s="257" customFormat="1" ht="17.25" customHeight="1" x14ac:dyDescent="0.25">
      <c r="A110" s="31" t="s">
        <v>14</v>
      </c>
      <c r="B110" s="32" t="s">
        <v>36</v>
      </c>
      <c r="C110" s="217" t="s">
        <v>38</v>
      </c>
      <c r="D110" s="33"/>
      <c r="E110" s="34" t="s">
        <v>60</v>
      </c>
      <c r="F110" s="35"/>
      <c r="G110" s="507">
        <v>6</v>
      </c>
      <c r="H110" s="502"/>
      <c r="I110" s="478"/>
      <c r="J110" s="65"/>
      <c r="K110" s="68"/>
      <c r="L110" s="65"/>
      <c r="M110" s="65"/>
      <c r="N110" s="64"/>
      <c r="O110" s="99"/>
      <c r="P110" s="64"/>
      <c r="Q110" s="964"/>
      <c r="R110" s="446"/>
      <c r="S110" s="229"/>
      <c r="T110" s="229"/>
      <c r="U110" s="229"/>
      <c r="V110" s="229"/>
      <c r="W110" s="229"/>
      <c r="X110" s="229"/>
    </row>
    <row r="111" spans="1:24" s="257" customFormat="1" ht="15" customHeight="1" x14ac:dyDescent="0.25">
      <c r="A111" s="1182"/>
      <c r="B111" s="1183"/>
      <c r="C111" s="1340"/>
      <c r="D111" s="143" t="s">
        <v>14</v>
      </c>
      <c r="E111" s="1177" t="s">
        <v>85</v>
      </c>
      <c r="F111" s="1144" t="s">
        <v>61</v>
      </c>
      <c r="G111" s="1186"/>
      <c r="H111" s="1327" t="s">
        <v>62</v>
      </c>
      <c r="I111" s="479" t="s">
        <v>30</v>
      </c>
      <c r="J111" s="46">
        <v>30</v>
      </c>
      <c r="K111" s="69">
        <v>30</v>
      </c>
      <c r="L111" s="46">
        <v>30</v>
      </c>
      <c r="M111" s="46">
        <v>30</v>
      </c>
      <c r="N111" s="1196" t="s">
        <v>135</v>
      </c>
      <c r="O111" s="554">
        <v>1</v>
      </c>
      <c r="P111" s="555">
        <v>1</v>
      </c>
      <c r="Q111" s="553">
        <v>1</v>
      </c>
      <c r="R111" s="556">
        <v>1</v>
      </c>
      <c r="S111" s="229"/>
      <c r="T111" s="229"/>
      <c r="U111" s="229"/>
      <c r="V111" s="229"/>
      <c r="W111" s="229"/>
      <c r="X111" s="229"/>
    </row>
    <row r="112" spans="1:24" s="257" customFormat="1" ht="11.25" customHeight="1" x14ac:dyDescent="0.25">
      <c r="A112" s="1182"/>
      <c r="B112" s="1183"/>
      <c r="C112" s="1340"/>
      <c r="D112" s="144"/>
      <c r="E112" s="1072"/>
      <c r="F112" s="1145"/>
      <c r="G112" s="1187"/>
      <c r="H112" s="1323"/>
      <c r="I112" s="138"/>
      <c r="J112" s="43"/>
      <c r="K112" s="42"/>
      <c r="L112" s="43"/>
      <c r="M112" s="43"/>
      <c r="N112" s="1197"/>
      <c r="O112" s="101"/>
      <c r="P112" s="311"/>
      <c r="Q112" s="833"/>
      <c r="R112" s="239"/>
      <c r="S112" s="229"/>
      <c r="T112" s="229"/>
      <c r="U112" s="229"/>
      <c r="V112" s="229"/>
      <c r="W112" s="229"/>
      <c r="X112" s="229"/>
    </row>
    <row r="113" spans="1:24" s="257" customFormat="1" ht="11.25" customHeight="1" x14ac:dyDescent="0.25">
      <c r="A113" s="1182"/>
      <c r="B113" s="1183"/>
      <c r="C113" s="1340"/>
      <c r="D113" s="145"/>
      <c r="E113" s="1178"/>
      <c r="F113" s="1185"/>
      <c r="G113" s="1187"/>
      <c r="H113" s="1370"/>
      <c r="I113" s="75"/>
      <c r="J113" s="47"/>
      <c r="K113" s="70"/>
      <c r="L113" s="47"/>
      <c r="M113" s="47"/>
      <c r="N113" s="1198"/>
      <c r="O113" s="102"/>
      <c r="P113" s="154"/>
      <c r="Q113" s="834"/>
      <c r="R113" s="447"/>
      <c r="S113" s="229"/>
      <c r="T113" s="229"/>
      <c r="U113" s="229"/>
      <c r="V113" s="229"/>
      <c r="W113" s="229"/>
      <c r="X113" s="229"/>
    </row>
    <row r="114" spans="1:24" s="257" customFormat="1" ht="26.25" customHeight="1" x14ac:dyDescent="0.25">
      <c r="A114" s="1121"/>
      <c r="B114" s="1124"/>
      <c r="C114" s="1297"/>
      <c r="D114" s="1299" t="s">
        <v>28</v>
      </c>
      <c r="E114" s="1354" t="s">
        <v>205</v>
      </c>
      <c r="F114" s="1145"/>
      <c r="G114" s="1371"/>
      <c r="H114" s="1356" t="s">
        <v>51</v>
      </c>
      <c r="I114" s="238" t="s">
        <v>30</v>
      </c>
      <c r="J114" s="922">
        <f>7.3+6.8</f>
        <v>14.1</v>
      </c>
      <c r="K114" s="69">
        <v>3.9</v>
      </c>
      <c r="L114" s="46">
        <v>7.3</v>
      </c>
      <c r="M114" s="46">
        <v>7.3</v>
      </c>
      <c r="N114" s="274" t="s">
        <v>110</v>
      </c>
      <c r="O114" s="937">
        <v>675</v>
      </c>
      <c r="P114" s="344">
        <v>650</v>
      </c>
      <c r="Q114" s="444">
        <v>1200</v>
      </c>
      <c r="R114" s="121">
        <v>1200</v>
      </c>
      <c r="S114" s="229"/>
      <c r="T114" s="229"/>
      <c r="U114" s="229"/>
      <c r="V114" s="229"/>
      <c r="W114" s="229"/>
      <c r="X114" s="229"/>
    </row>
    <row r="115" spans="1:24" s="257" customFormat="1" ht="16.5" customHeight="1" x14ac:dyDescent="0.25">
      <c r="A115" s="1199"/>
      <c r="B115" s="1200"/>
      <c r="C115" s="1298"/>
      <c r="D115" s="1300"/>
      <c r="E115" s="1355"/>
      <c r="F115" s="1145"/>
      <c r="G115" s="1203"/>
      <c r="H115" s="1357"/>
      <c r="I115" s="131" t="s">
        <v>35</v>
      </c>
      <c r="J115" s="43">
        <v>5.3</v>
      </c>
      <c r="K115" s="42"/>
      <c r="L115" s="43"/>
      <c r="M115" s="43"/>
      <c r="N115" s="1361" t="s">
        <v>204</v>
      </c>
      <c r="O115" s="938">
        <v>5.3</v>
      </c>
      <c r="P115" s="936"/>
      <c r="Q115" s="315"/>
      <c r="R115" s="251"/>
      <c r="S115" s="229"/>
      <c r="T115" s="229"/>
      <c r="U115" s="229"/>
      <c r="V115" s="229"/>
      <c r="W115" s="229"/>
      <c r="X115" s="229"/>
    </row>
    <row r="116" spans="1:24" s="257" customFormat="1" ht="14.25" customHeight="1" x14ac:dyDescent="0.25">
      <c r="A116" s="1199"/>
      <c r="B116" s="1200"/>
      <c r="C116" s="1298"/>
      <c r="D116" s="1300"/>
      <c r="E116" s="1202"/>
      <c r="F116" s="1145"/>
      <c r="G116" s="1134"/>
      <c r="H116" s="1357"/>
      <c r="I116" s="941" t="s">
        <v>63</v>
      </c>
      <c r="J116" s="942">
        <v>10</v>
      </c>
      <c r="K116" s="141"/>
      <c r="L116" s="603"/>
      <c r="M116" s="603"/>
      <c r="N116" s="1315"/>
      <c r="O116" s="604"/>
      <c r="P116" s="605"/>
      <c r="Q116" s="965"/>
      <c r="R116" s="606"/>
      <c r="S116" s="229"/>
      <c r="T116" s="229"/>
      <c r="U116" s="229"/>
      <c r="V116" s="229"/>
      <c r="W116" s="229"/>
      <c r="X116" s="229"/>
    </row>
    <row r="117" spans="1:24" s="25" customFormat="1" ht="15" customHeight="1" x14ac:dyDescent="0.25">
      <c r="A117" s="584"/>
      <c r="B117" s="587"/>
      <c r="C117" s="518"/>
      <c r="D117" s="146" t="s">
        <v>36</v>
      </c>
      <c r="E117" s="1189" t="s">
        <v>182</v>
      </c>
      <c r="F117" s="594"/>
      <c r="G117" s="580" t="s">
        <v>180</v>
      </c>
      <c r="H117" s="1351" t="s">
        <v>183</v>
      </c>
      <c r="I117" s="312" t="s">
        <v>42</v>
      </c>
      <c r="J117" s="46"/>
      <c r="K117" s="76"/>
      <c r="L117" s="76">
        <v>10</v>
      </c>
      <c r="M117" s="76"/>
      <c r="N117" s="585" t="s">
        <v>96</v>
      </c>
      <c r="O117" s="586"/>
      <c r="P117" s="589"/>
      <c r="Q117" s="165">
        <v>1</v>
      </c>
      <c r="R117" s="426"/>
      <c r="S117" s="229"/>
      <c r="T117" s="229"/>
      <c r="U117" s="229"/>
      <c r="V117" s="229"/>
      <c r="W117" s="229"/>
      <c r="X117" s="229"/>
    </row>
    <row r="118" spans="1:24" s="25" customFormat="1" ht="14.25" customHeight="1" x14ac:dyDescent="0.25">
      <c r="A118" s="584"/>
      <c r="B118" s="587"/>
      <c r="C118" s="590"/>
      <c r="D118" s="583"/>
      <c r="E118" s="1190"/>
      <c r="F118" s="588"/>
      <c r="G118" s="581"/>
      <c r="H118" s="1352"/>
      <c r="I118" s="313"/>
      <c r="J118" s="43"/>
      <c r="K118" s="164"/>
      <c r="L118" s="164"/>
      <c r="M118" s="164"/>
      <c r="N118" s="582"/>
      <c r="O118" s="255"/>
      <c r="P118" s="195"/>
      <c r="Q118" s="309"/>
      <c r="R118" s="486"/>
      <c r="S118" s="229"/>
      <c r="T118" s="229"/>
      <c r="U118" s="229"/>
      <c r="V118" s="229"/>
      <c r="W118" s="229"/>
      <c r="X118" s="229"/>
    </row>
    <row r="119" spans="1:24" s="25" customFormat="1" ht="14.25" customHeight="1" x14ac:dyDescent="0.25">
      <c r="A119" s="591"/>
      <c r="B119" s="587"/>
      <c r="C119" s="590"/>
      <c r="D119" s="40"/>
      <c r="E119" s="1350"/>
      <c r="F119" s="595"/>
      <c r="G119" s="592"/>
      <c r="H119" s="1353"/>
      <c r="I119" s="593"/>
      <c r="J119" s="47"/>
      <c r="K119" s="47"/>
      <c r="L119" s="47"/>
      <c r="M119" s="47"/>
      <c r="N119" s="392"/>
      <c r="O119" s="249"/>
      <c r="P119" s="248"/>
      <c r="Q119" s="273"/>
      <c r="R119" s="431"/>
      <c r="S119" s="229"/>
      <c r="T119" s="229"/>
      <c r="U119" s="229"/>
      <c r="V119" s="229"/>
      <c r="W119" s="229"/>
      <c r="X119" s="229"/>
    </row>
    <row r="120" spans="1:24" s="257" customFormat="1" ht="18" customHeight="1" thickBot="1" x14ac:dyDescent="0.25">
      <c r="A120" s="403"/>
      <c r="B120" s="398"/>
      <c r="C120" s="201"/>
      <c r="D120" s="476"/>
      <c r="E120" s="465"/>
      <c r="F120" s="465"/>
      <c r="G120" s="476"/>
      <c r="H120" s="480"/>
      <c r="I120" s="289" t="s">
        <v>27</v>
      </c>
      <c r="J120" s="44">
        <f>SUM(J111:J116)</f>
        <v>59.4</v>
      </c>
      <c r="K120" s="44">
        <f>SUM(K111:K118)</f>
        <v>33.9</v>
      </c>
      <c r="L120" s="44">
        <f>SUM(L111:L118)</f>
        <v>47.3</v>
      </c>
      <c r="M120" s="44">
        <f>SUM(M111:M118)</f>
        <v>37.299999999999997</v>
      </c>
      <c r="N120" s="465"/>
      <c r="O120" s="477"/>
      <c r="P120" s="469"/>
      <c r="Q120" s="463"/>
      <c r="R120" s="464"/>
      <c r="S120" s="229"/>
      <c r="T120" s="229"/>
      <c r="U120" s="229"/>
      <c r="V120" s="229"/>
      <c r="W120" s="229"/>
      <c r="X120" s="229"/>
    </row>
    <row r="121" spans="1:24" s="257" customFormat="1" ht="13.5" thickBot="1" x14ac:dyDescent="0.3">
      <c r="A121" s="26" t="s">
        <v>14</v>
      </c>
      <c r="B121" s="22" t="s">
        <v>36</v>
      </c>
      <c r="C121" s="1107" t="s">
        <v>44</v>
      </c>
      <c r="D121" s="1107"/>
      <c r="E121" s="1107"/>
      <c r="F121" s="1107"/>
      <c r="G121" s="1107"/>
      <c r="H121" s="1107"/>
      <c r="I121" s="1107"/>
      <c r="J121" s="66">
        <f>J120+J109+J90+J61</f>
        <v>2521.1999999999998</v>
      </c>
      <c r="K121" s="49">
        <f>K120+K109+K90+K61</f>
        <v>2420.7000000000003</v>
      </c>
      <c r="L121" s="66">
        <f>L120+L109+L90+L61</f>
        <v>1864.9</v>
      </c>
      <c r="M121" s="66">
        <f>M120+M109+M90+M61</f>
        <v>138.39999999999998</v>
      </c>
      <c r="N121" s="1110"/>
      <c r="O121" s="1110"/>
      <c r="P121" s="1110"/>
      <c r="Q121" s="1110"/>
      <c r="R121" s="1111"/>
      <c r="S121" s="229"/>
      <c r="T121" s="229"/>
      <c r="U121" s="229"/>
      <c r="V121" s="229"/>
      <c r="W121" s="229"/>
      <c r="X121" s="229"/>
    </row>
    <row r="122" spans="1:24" s="257" customFormat="1" ht="16.5" customHeight="1" thickBot="1" x14ac:dyDescent="0.3">
      <c r="A122" s="21" t="s">
        <v>14</v>
      </c>
      <c r="B122" s="22" t="s">
        <v>38</v>
      </c>
      <c r="C122" s="1192" t="s">
        <v>102</v>
      </c>
      <c r="D122" s="1193"/>
      <c r="E122" s="1193"/>
      <c r="F122" s="1193"/>
      <c r="G122" s="1193"/>
      <c r="H122" s="1193"/>
      <c r="I122" s="1193"/>
      <c r="J122" s="1194"/>
      <c r="K122" s="1194"/>
      <c r="L122" s="1194"/>
      <c r="M122" s="1194"/>
      <c r="N122" s="1193"/>
      <c r="O122" s="1193"/>
      <c r="P122" s="1193"/>
      <c r="Q122" s="1193"/>
      <c r="R122" s="1195"/>
      <c r="S122" s="229"/>
      <c r="T122" s="229"/>
      <c r="U122" s="229"/>
      <c r="V122" s="229"/>
      <c r="W122" s="229"/>
      <c r="X122" s="229"/>
    </row>
    <row r="123" spans="1:24" s="242" customFormat="1" ht="15.75" customHeight="1" x14ac:dyDescent="0.25">
      <c r="A123" s="243" t="s">
        <v>14</v>
      </c>
      <c r="B123" s="244" t="s">
        <v>38</v>
      </c>
      <c r="C123" s="261" t="s">
        <v>14</v>
      </c>
      <c r="D123" s="1080"/>
      <c r="E123" s="1210" t="s">
        <v>184</v>
      </c>
      <c r="F123" s="77"/>
      <c r="G123" s="240">
        <v>1</v>
      </c>
      <c r="H123" s="1302" t="s">
        <v>124</v>
      </c>
      <c r="I123" s="241" t="s">
        <v>42</v>
      </c>
      <c r="J123" s="596"/>
      <c r="K123" s="46">
        <v>612</v>
      </c>
      <c r="L123" s="46"/>
      <c r="M123" s="46"/>
      <c r="N123" s="1211" t="s">
        <v>126</v>
      </c>
      <c r="O123" s="245"/>
      <c r="P123" s="245">
        <v>100</v>
      </c>
      <c r="Q123" s="245"/>
      <c r="R123" s="264"/>
      <c r="S123" s="174"/>
      <c r="T123" s="174"/>
      <c r="U123" s="174"/>
      <c r="V123" s="174"/>
      <c r="W123" s="174"/>
      <c r="X123" s="174"/>
    </row>
    <row r="124" spans="1:24" s="242" customFormat="1" ht="15.75" customHeight="1" x14ac:dyDescent="0.25">
      <c r="A124" s="243"/>
      <c r="B124" s="244"/>
      <c r="C124" s="261"/>
      <c r="D124" s="1081"/>
      <c r="E124" s="1002"/>
      <c r="F124" s="77"/>
      <c r="G124" s="240"/>
      <c r="H124" s="1303"/>
      <c r="I124" s="175"/>
      <c r="J124" s="58"/>
      <c r="K124" s="48"/>
      <c r="L124" s="48"/>
      <c r="M124" s="48"/>
      <c r="N124" s="1212"/>
      <c r="O124" s="84"/>
      <c r="P124" s="84"/>
      <c r="Q124" s="84"/>
      <c r="R124" s="134"/>
      <c r="S124" s="174"/>
      <c r="T124" s="174"/>
      <c r="U124" s="174"/>
      <c r="V124" s="174"/>
      <c r="W124" s="174"/>
      <c r="X124" s="174"/>
    </row>
    <row r="125" spans="1:24" s="242" customFormat="1" ht="46.5" customHeight="1" x14ac:dyDescent="0.25">
      <c r="A125" s="243"/>
      <c r="B125" s="244"/>
      <c r="C125" s="261"/>
      <c r="D125" s="1081"/>
      <c r="E125" s="1172"/>
      <c r="F125" s="77"/>
      <c r="G125" s="240"/>
      <c r="H125" s="1304"/>
      <c r="I125" s="75"/>
      <c r="J125" s="59"/>
      <c r="K125" s="59"/>
      <c r="L125" s="59"/>
      <c r="M125" s="59"/>
      <c r="N125" s="1152"/>
      <c r="O125" s="84"/>
      <c r="P125" s="84"/>
      <c r="Q125" s="84"/>
      <c r="R125" s="134"/>
      <c r="S125" s="174"/>
      <c r="T125" s="174"/>
      <c r="U125" s="174"/>
      <c r="V125" s="174"/>
      <c r="W125" s="174"/>
      <c r="X125" s="174"/>
    </row>
    <row r="126" spans="1:24" s="257" customFormat="1" ht="18" customHeight="1" thickBot="1" x14ac:dyDescent="0.3">
      <c r="A126" s="243"/>
      <c r="B126" s="244"/>
      <c r="C126" s="261"/>
      <c r="D126" s="18"/>
      <c r="E126" s="402"/>
      <c r="F126" s="77"/>
      <c r="G126" s="240"/>
      <c r="H126" s="481"/>
      <c r="I126" s="289" t="s">
        <v>27</v>
      </c>
      <c r="J126" s="72">
        <f>SUM(J122:J125)</f>
        <v>0</v>
      </c>
      <c r="K126" s="72">
        <f t="shared" ref="K126" si="14">SUM(K122:K125)</f>
        <v>612</v>
      </c>
      <c r="L126" s="72">
        <f t="shared" ref="L126:M126" si="15">SUM(L122:L125)</f>
        <v>0</v>
      </c>
      <c r="M126" s="72">
        <f t="shared" si="15"/>
        <v>0</v>
      </c>
      <c r="N126" s="108"/>
      <c r="O126" s="997"/>
      <c r="P126" s="342"/>
      <c r="Q126" s="192"/>
      <c r="R126" s="186"/>
      <c r="S126" s="229"/>
      <c r="T126" s="229"/>
      <c r="U126" s="229"/>
      <c r="V126" s="229"/>
      <c r="W126" s="229"/>
      <c r="X126" s="229"/>
    </row>
    <row r="127" spans="1:24" s="257" customFormat="1" ht="16.5" customHeight="1" x14ac:dyDescent="0.25">
      <c r="A127" s="1078" t="s">
        <v>14</v>
      </c>
      <c r="B127" s="1214" t="s">
        <v>38</v>
      </c>
      <c r="C127" s="1080" t="s">
        <v>28</v>
      </c>
      <c r="D127" s="19"/>
      <c r="E127" s="1092" t="s">
        <v>123</v>
      </c>
      <c r="F127" s="1217" t="s">
        <v>39</v>
      </c>
      <c r="G127" s="1220">
        <v>5</v>
      </c>
      <c r="H127" s="1367" t="s">
        <v>43</v>
      </c>
      <c r="I127" s="137" t="s">
        <v>42</v>
      </c>
      <c r="J127" s="110">
        <v>2.7</v>
      </c>
      <c r="K127" s="110"/>
      <c r="L127" s="110"/>
      <c r="M127" s="110"/>
      <c r="N127" s="925" t="s">
        <v>91</v>
      </c>
      <c r="O127" s="996" t="s">
        <v>218</v>
      </c>
      <c r="P127" s="996" t="s">
        <v>218</v>
      </c>
      <c r="Q127" s="824"/>
      <c r="R127" s="543"/>
      <c r="S127" s="229"/>
      <c r="T127" s="229"/>
      <c r="U127" s="229"/>
      <c r="V127" s="229"/>
      <c r="W127" s="229"/>
      <c r="X127" s="229"/>
    </row>
    <row r="128" spans="1:24" s="257" customFormat="1" ht="15" customHeight="1" x14ac:dyDescent="0.25">
      <c r="A128" s="1047"/>
      <c r="B128" s="1215"/>
      <c r="C128" s="1081"/>
      <c r="D128" s="254"/>
      <c r="E128" s="1072"/>
      <c r="F128" s="1218"/>
      <c r="G128" s="1221"/>
      <c r="H128" s="1368"/>
      <c r="I128" s="138" t="s">
        <v>106</v>
      </c>
      <c r="J128" s="43">
        <v>227.4</v>
      </c>
      <c r="K128" s="43"/>
      <c r="L128" s="43"/>
      <c r="M128" s="43"/>
      <c r="N128" s="1223" t="s">
        <v>175</v>
      </c>
      <c r="O128" s="287"/>
      <c r="P128" s="287" t="s">
        <v>176</v>
      </c>
      <c r="Q128" s="824"/>
      <c r="R128" s="543"/>
      <c r="S128" s="229"/>
      <c r="T128" s="229"/>
      <c r="U128" s="229"/>
      <c r="V128" s="229"/>
      <c r="W128" s="229"/>
      <c r="X128" s="229"/>
    </row>
    <row r="129" spans="1:24" s="257" customFormat="1" ht="15.75" customHeight="1" x14ac:dyDescent="0.25">
      <c r="A129" s="1047"/>
      <c r="B129" s="1215"/>
      <c r="C129" s="1081"/>
      <c r="D129" s="254"/>
      <c r="E129" s="1072"/>
      <c r="F129" s="1218"/>
      <c r="G129" s="1221"/>
      <c r="H129" s="1368"/>
      <c r="I129" s="138" t="s">
        <v>108</v>
      </c>
      <c r="J129" s="874">
        <f>1299.6-690</f>
        <v>609.59999999999991</v>
      </c>
      <c r="K129" s="43">
        <f>131+690</f>
        <v>821</v>
      </c>
      <c r="L129" s="43"/>
      <c r="M129" s="43"/>
      <c r="N129" s="1224"/>
      <c r="O129" s="287"/>
      <c r="P129" s="287"/>
      <c r="Q129" s="824"/>
      <c r="R129" s="543"/>
      <c r="S129" s="229"/>
      <c r="T129" s="229"/>
      <c r="U129" s="229"/>
      <c r="V129" s="229"/>
      <c r="W129" s="229"/>
      <c r="X129" s="229"/>
    </row>
    <row r="130" spans="1:24" s="257" customFormat="1" ht="17.25" customHeight="1" x14ac:dyDescent="0.25">
      <c r="A130" s="1047"/>
      <c r="B130" s="1215"/>
      <c r="C130" s="1081"/>
      <c r="D130" s="254"/>
      <c r="E130" s="1072"/>
      <c r="F130" s="1218"/>
      <c r="G130" s="1221"/>
      <c r="H130" s="1368"/>
      <c r="I130" s="138" t="s">
        <v>30</v>
      </c>
      <c r="J130" s="43">
        <v>25</v>
      </c>
      <c r="K130" s="48">
        <v>23</v>
      </c>
      <c r="L130" s="43"/>
      <c r="M130" s="43"/>
      <c r="N130" s="1223"/>
      <c r="O130" s="287"/>
      <c r="P130" s="287"/>
      <c r="Q130" s="824"/>
      <c r="R130" s="543"/>
      <c r="S130" s="229"/>
      <c r="T130" s="229"/>
      <c r="U130" s="229"/>
      <c r="V130" s="229"/>
      <c r="W130" s="229"/>
      <c r="X130" s="229"/>
    </row>
    <row r="131" spans="1:24" s="257" customFormat="1" ht="15" customHeight="1" x14ac:dyDescent="0.25">
      <c r="A131" s="1047"/>
      <c r="B131" s="1215"/>
      <c r="C131" s="1081"/>
      <c r="D131" s="254"/>
      <c r="E131" s="1072"/>
      <c r="F131" s="1218"/>
      <c r="G131" s="1221"/>
      <c r="H131" s="1368"/>
      <c r="I131" s="139" t="s">
        <v>147</v>
      </c>
      <c r="J131" s="547">
        <v>146.4</v>
      </c>
      <c r="K131" s="47"/>
      <c r="L131" s="47"/>
      <c r="M131" s="47"/>
      <c r="N131" s="1224"/>
      <c r="O131" s="287"/>
      <c r="P131" s="287"/>
      <c r="Q131" s="824"/>
      <c r="R131" s="543"/>
      <c r="S131" s="229"/>
      <c r="T131" s="229"/>
      <c r="U131" s="229"/>
      <c r="V131" s="229"/>
      <c r="W131" s="229"/>
      <c r="X131" s="229"/>
    </row>
    <row r="132" spans="1:24" s="257" customFormat="1" ht="18" customHeight="1" thickBot="1" x14ac:dyDescent="0.3">
      <c r="A132" s="1213"/>
      <c r="B132" s="1216"/>
      <c r="C132" s="1098"/>
      <c r="D132" s="18"/>
      <c r="E132" s="1073"/>
      <c r="F132" s="1219"/>
      <c r="G132" s="1222"/>
      <c r="H132" s="1369"/>
      <c r="I132" s="289" t="s">
        <v>27</v>
      </c>
      <c r="J132" s="127">
        <f>SUM(J127:J131)</f>
        <v>1011.0999999999999</v>
      </c>
      <c r="K132" s="127">
        <f t="shared" ref="K132:M132" si="16">SUM(K127:K131)</f>
        <v>844</v>
      </c>
      <c r="L132" s="127">
        <f t="shared" ref="L132" si="17">SUM(L127:L131)</f>
        <v>0</v>
      </c>
      <c r="M132" s="127">
        <f t="shared" si="16"/>
        <v>0</v>
      </c>
      <c r="N132" s="108"/>
      <c r="O132" s="544"/>
      <c r="P132" s="544"/>
      <c r="Q132" s="825"/>
      <c r="R132" s="545"/>
      <c r="S132" s="229"/>
      <c r="T132" s="229"/>
      <c r="U132" s="229"/>
      <c r="V132" s="229"/>
      <c r="W132" s="229"/>
      <c r="X132" s="229"/>
    </row>
    <row r="133" spans="1:24" s="257" customFormat="1" ht="13.5" thickBot="1" x14ac:dyDescent="0.3">
      <c r="A133" s="152" t="s">
        <v>14</v>
      </c>
      <c r="B133" s="404" t="s">
        <v>19</v>
      </c>
      <c r="C133" s="1264" t="s">
        <v>44</v>
      </c>
      <c r="D133" s="1265"/>
      <c r="E133" s="1265"/>
      <c r="F133" s="1265"/>
      <c r="G133" s="1265"/>
      <c r="H133" s="1265"/>
      <c r="I133" s="1265"/>
      <c r="J133" s="52">
        <f>J132+J126</f>
        <v>1011.0999999999999</v>
      </c>
      <c r="K133" s="52">
        <f>K132+K126</f>
        <v>1456</v>
      </c>
      <c r="L133" s="52">
        <f>L132+L126</f>
        <v>0</v>
      </c>
      <c r="M133" s="52">
        <f>M132+M126</f>
        <v>0</v>
      </c>
      <c r="N133" s="1204"/>
      <c r="O133" s="1204"/>
      <c r="P133" s="1204"/>
      <c r="Q133" s="1204"/>
      <c r="R133" s="1205"/>
      <c r="S133" s="229"/>
      <c r="T133" s="229"/>
      <c r="U133" s="229"/>
      <c r="V133" s="229"/>
      <c r="W133" s="229"/>
      <c r="X133" s="229"/>
    </row>
    <row r="134" spans="1:24" s="257" customFormat="1" ht="12.75" customHeight="1" thickBot="1" x14ac:dyDescent="0.3">
      <c r="A134" s="26" t="s">
        <v>14</v>
      </c>
      <c r="B134" s="1206" t="s">
        <v>65</v>
      </c>
      <c r="C134" s="1207"/>
      <c r="D134" s="1207"/>
      <c r="E134" s="1207"/>
      <c r="F134" s="1207"/>
      <c r="G134" s="1207"/>
      <c r="H134" s="1207"/>
      <c r="I134" s="1207"/>
      <c r="J134" s="53">
        <f>J121+J49+J37+J133</f>
        <v>9803.2000000000007</v>
      </c>
      <c r="K134" s="53">
        <f>K121+K49+K37+K133</f>
        <v>9315.1</v>
      </c>
      <c r="L134" s="53">
        <f>L121+L49+L37+L133</f>
        <v>7308.8</v>
      </c>
      <c r="M134" s="53">
        <f>M121+M49+M37+M133</f>
        <v>5582.3</v>
      </c>
      <c r="N134" s="1208"/>
      <c r="O134" s="1208"/>
      <c r="P134" s="1208"/>
      <c r="Q134" s="1208"/>
      <c r="R134" s="1209"/>
      <c r="S134" s="229"/>
      <c r="T134" s="229"/>
      <c r="U134" s="229"/>
      <c r="V134" s="229"/>
      <c r="W134" s="229"/>
      <c r="X134" s="229"/>
    </row>
    <row r="135" spans="1:24" s="257" customFormat="1" ht="13.5" thickBot="1" x14ac:dyDescent="0.3">
      <c r="A135" s="36" t="s">
        <v>19</v>
      </c>
      <c r="B135" s="1251" t="s">
        <v>66</v>
      </c>
      <c r="C135" s="1252"/>
      <c r="D135" s="1252"/>
      <c r="E135" s="1252"/>
      <c r="F135" s="1252"/>
      <c r="G135" s="1252"/>
      <c r="H135" s="1252"/>
      <c r="I135" s="1252"/>
      <c r="J135" s="54">
        <f>J134</f>
        <v>9803.2000000000007</v>
      </c>
      <c r="K135" s="54">
        <f t="shared" ref="K135:M135" si="18">K134</f>
        <v>9315.1</v>
      </c>
      <c r="L135" s="54">
        <f t="shared" ref="L135" si="19">L134</f>
        <v>7308.8</v>
      </c>
      <c r="M135" s="54">
        <f t="shared" si="18"/>
        <v>5582.3</v>
      </c>
      <c r="N135" s="1253"/>
      <c r="O135" s="1253"/>
      <c r="P135" s="1253"/>
      <c r="Q135" s="1253"/>
      <c r="R135" s="1254"/>
      <c r="S135" s="229"/>
      <c r="T135" s="229"/>
      <c r="U135" s="229"/>
      <c r="V135" s="229"/>
      <c r="W135" s="229"/>
      <c r="X135" s="229"/>
    </row>
    <row r="136" spans="1:24" s="160" customFormat="1" ht="21" customHeight="1" x14ac:dyDescent="0.25">
      <c r="A136" s="1255" t="s">
        <v>181</v>
      </c>
      <c r="B136" s="1256"/>
      <c r="C136" s="1256"/>
      <c r="D136" s="1256"/>
      <c r="E136" s="1256"/>
      <c r="F136" s="1256"/>
      <c r="G136" s="1256"/>
      <c r="H136" s="1256"/>
      <c r="I136" s="1256"/>
      <c r="J136" s="1256"/>
      <c r="K136" s="1256"/>
      <c r="L136" s="1256"/>
      <c r="M136" s="1256"/>
      <c r="N136" s="613"/>
      <c r="O136" s="613"/>
      <c r="P136" s="613"/>
      <c r="Q136" s="958"/>
      <c r="R136" s="613"/>
      <c r="S136" s="762"/>
      <c r="T136" s="762"/>
      <c r="U136" s="762"/>
      <c r="V136" s="762"/>
      <c r="W136" s="762"/>
      <c r="X136" s="762"/>
    </row>
    <row r="137" spans="1:24" s="162" customFormat="1" ht="17.25" customHeight="1" x14ac:dyDescent="0.25">
      <c r="A137" s="488"/>
      <c r="B137" s="489"/>
      <c r="C137" s="489"/>
      <c r="D137" s="489"/>
      <c r="E137" s="489"/>
      <c r="F137" s="489"/>
      <c r="G137" s="489"/>
      <c r="H137" s="489"/>
      <c r="I137" s="489"/>
      <c r="J137" s="489"/>
      <c r="K137" s="755"/>
      <c r="L137" s="755"/>
      <c r="M137" s="755"/>
      <c r="N137" s="542"/>
      <c r="O137" s="422"/>
      <c r="P137" s="422"/>
      <c r="Q137" s="958"/>
      <c r="R137" s="422"/>
      <c r="S137" s="546"/>
      <c r="T137" s="546"/>
      <c r="U137" s="546"/>
      <c r="V137" s="546"/>
      <c r="W137" s="546"/>
      <c r="X137" s="546"/>
    </row>
    <row r="138" spans="1:24" s="37" customFormat="1" ht="16.5" customHeight="1" thickBot="1" x14ac:dyDescent="0.3">
      <c r="A138" s="1257" t="s">
        <v>67</v>
      </c>
      <c r="B138" s="1257"/>
      <c r="C138" s="1257"/>
      <c r="D138" s="1257"/>
      <c r="E138" s="1257"/>
      <c r="F138" s="1257"/>
      <c r="G138" s="1257"/>
      <c r="H138" s="1257"/>
      <c r="I138" s="1257"/>
      <c r="J138" s="38"/>
      <c r="K138" s="38"/>
      <c r="L138" s="38"/>
      <c r="M138" s="38"/>
      <c r="N138" s="10"/>
      <c r="O138" s="10"/>
      <c r="P138" s="10"/>
      <c r="Q138" s="10"/>
      <c r="R138" s="10"/>
      <c r="S138" s="763"/>
      <c r="T138" s="763"/>
      <c r="U138" s="763"/>
      <c r="V138" s="763"/>
      <c r="W138" s="763"/>
      <c r="X138" s="763"/>
    </row>
    <row r="139" spans="1:24" s="257" customFormat="1" ht="64.5" customHeight="1" thickBot="1" x14ac:dyDescent="0.3">
      <c r="A139" s="1258" t="s">
        <v>68</v>
      </c>
      <c r="B139" s="1259"/>
      <c r="C139" s="1259"/>
      <c r="D139" s="1259"/>
      <c r="E139" s="1259"/>
      <c r="F139" s="1259"/>
      <c r="G139" s="1259"/>
      <c r="H139" s="1259"/>
      <c r="I139" s="1260"/>
      <c r="J139" s="425" t="s">
        <v>159</v>
      </c>
      <c r="K139" s="425" t="s">
        <v>207</v>
      </c>
      <c r="L139" s="320" t="s">
        <v>154</v>
      </c>
      <c r="M139" s="320" t="s">
        <v>208</v>
      </c>
      <c r="N139" s="1"/>
      <c r="O139" s="1"/>
      <c r="P139" s="1"/>
      <c r="Q139" s="1"/>
      <c r="R139" s="1"/>
      <c r="S139" s="229"/>
      <c r="T139" s="229"/>
      <c r="U139" s="229"/>
      <c r="V139" s="229"/>
      <c r="W139" s="229"/>
      <c r="X139" s="229"/>
    </row>
    <row r="140" spans="1:24" s="257" customFormat="1" x14ac:dyDescent="0.25">
      <c r="A140" s="1261" t="s">
        <v>69</v>
      </c>
      <c r="B140" s="1262"/>
      <c r="C140" s="1262"/>
      <c r="D140" s="1262"/>
      <c r="E140" s="1262"/>
      <c r="F140" s="1262"/>
      <c r="G140" s="1262"/>
      <c r="H140" s="1262"/>
      <c r="I140" s="1263"/>
      <c r="J140" s="423">
        <f>J141+J148+J149+J151+J150</f>
        <v>9714.5</v>
      </c>
      <c r="K140" s="423">
        <f t="shared" ref="K140:M140" si="20">K141+K148+K149+K151+K150</f>
        <v>9293.1</v>
      </c>
      <c r="L140" s="484">
        <f t="shared" ref="L140" si="21">L141+L148+L149+L151+L150</f>
        <v>7308.8</v>
      </c>
      <c r="M140" s="484">
        <f t="shared" si="20"/>
        <v>5582.3</v>
      </c>
      <c r="N140" s="39"/>
      <c r="O140" s="1"/>
      <c r="P140" s="1"/>
      <c r="Q140" s="1"/>
      <c r="R140" s="1"/>
      <c r="S140" s="229"/>
      <c r="T140" s="229"/>
      <c r="U140" s="229"/>
      <c r="V140" s="229"/>
      <c r="W140" s="229"/>
      <c r="X140" s="229"/>
    </row>
    <row r="141" spans="1:24" s="257" customFormat="1" ht="12.75" customHeight="1" x14ac:dyDescent="0.2">
      <c r="A141" s="1245" t="s">
        <v>70</v>
      </c>
      <c r="B141" s="1246"/>
      <c r="C141" s="1246"/>
      <c r="D141" s="1246"/>
      <c r="E141" s="1246"/>
      <c r="F141" s="1246"/>
      <c r="G141" s="1246"/>
      <c r="H141" s="1246"/>
      <c r="I141" s="1247"/>
      <c r="J141" s="60">
        <f>SUM(J142:J147)</f>
        <v>7410.8</v>
      </c>
      <c r="K141" s="60">
        <f>SUM(K142:K147)</f>
        <v>8854</v>
      </c>
      <c r="L141" s="60">
        <f>SUM(L142:L147)</f>
        <v>6880.2</v>
      </c>
      <c r="M141" s="60">
        <f>SUM(M142:M147)</f>
        <v>5153.7</v>
      </c>
      <c r="N141" s="39"/>
      <c r="O141" s="1"/>
      <c r="P141" s="1"/>
      <c r="Q141" s="1"/>
      <c r="R141" s="1"/>
      <c r="S141" s="229"/>
      <c r="T141" s="229"/>
      <c r="U141" s="229"/>
      <c r="V141" s="229"/>
      <c r="W141" s="229"/>
      <c r="X141" s="229"/>
    </row>
    <row r="142" spans="1:24" s="257" customFormat="1" x14ac:dyDescent="0.25">
      <c r="A142" s="1248" t="s">
        <v>71</v>
      </c>
      <c r="B142" s="1249"/>
      <c r="C142" s="1249"/>
      <c r="D142" s="1249"/>
      <c r="E142" s="1249"/>
      <c r="F142" s="1249"/>
      <c r="G142" s="1249"/>
      <c r="H142" s="1249"/>
      <c r="I142" s="1250"/>
      <c r="J142" s="61">
        <f>SUMIF(I13:I135,"SB",J13:J135)</f>
        <v>409.4</v>
      </c>
      <c r="K142" s="61">
        <f>SUMIF(I13:I135,"SB",K13:K135)</f>
        <v>1371.4</v>
      </c>
      <c r="L142" s="61">
        <f>SUMIF(I13:I135,"SB",L13:L135)</f>
        <v>1410.9</v>
      </c>
      <c r="M142" s="61">
        <f>SUMIF(I13:I135,"SB",M13:M135)</f>
        <v>0</v>
      </c>
      <c r="N142" s="39"/>
      <c r="O142" s="1"/>
      <c r="P142" s="1"/>
      <c r="Q142" s="1"/>
      <c r="R142" s="1"/>
      <c r="S142" s="229"/>
      <c r="T142" s="229"/>
      <c r="U142" s="229"/>
      <c r="V142" s="229"/>
      <c r="W142" s="229"/>
      <c r="X142" s="229"/>
    </row>
    <row r="143" spans="1:24" s="257" customFormat="1" ht="14.25" customHeight="1" x14ac:dyDescent="0.25">
      <c r="A143" s="1242" t="s">
        <v>187</v>
      </c>
      <c r="B143" s="1243"/>
      <c r="C143" s="1243"/>
      <c r="D143" s="1243"/>
      <c r="E143" s="1243"/>
      <c r="F143" s="1243"/>
      <c r="G143" s="1243"/>
      <c r="H143" s="1243"/>
      <c r="I143" s="1244"/>
      <c r="J143" s="62">
        <f>SUMIF(I13:I135,"SB(AA)",J13:J135)</f>
        <v>420.00000000000006</v>
      </c>
      <c r="K143" s="62">
        <f>SUMIF(I13:I135,"SB(AA)",K13:K135)</f>
        <v>420</v>
      </c>
      <c r="L143" s="62">
        <f>SUMIF(I13:I135,"SB(AA)",L13:L135)</f>
        <v>420.00000000000006</v>
      </c>
      <c r="M143" s="62">
        <f>SUMIF(I13:I135,"SB(AA)",M13:M135)</f>
        <v>278.70000000000005</v>
      </c>
      <c r="N143" s="39"/>
      <c r="O143" s="1"/>
      <c r="P143" s="1"/>
      <c r="Q143" s="1"/>
      <c r="R143" s="1"/>
      <c r="S143" s="229"/>
      <c r="T143" s="229"/>
      <c r="U143" s="229"/>
      <c r="V143" s="229"/>
      <c r="W143" s="229"/>
      <c r="X143" s="229"/>
    </row>
    <row r="144" spans="1:24" s="257" customFormat="1" x14ac:dyDescent="0.25">
      <c r="A144" s="1242" t="s">
        <v>72</v>
      </c>
      <c r="B144" s="1243"/>
      <c r="C144" s="1243"/>
      <c r="D144" s="1243"/>
      <c r="E144" s="1243"/>
      <c r="F144" s="1243"/>
      <c r="G144" s="1243"/>
      <c r="H144" s="1243"/>
      <c r="I144" s="1244"/>
      <c r="J144" s="61">
        <f>SUMIF(I13:I135,"SB(VR)",J13:J135)</f>
        <v>4850</v>
      </c>
      <c r="K144" s="61">
        <f>SUMIF(I13:I135,"SB(VR)",K13:K135)</f>
        <v>4875</v>
      </c>
      <c r="L144" s="61">
        <f>SUMIF(I13:I135,"SB(VR)",L13:L135)</f>
        <v>4875</v>
      </c>
      <c r="M144" s="61">
        <f>SUMIF(I13:I135,"SB(VR)",M13:M135)</f>
        <v>4875</v>
      </c>
      <c r="N144" s="39"/>
      <c r="O144" s="1"/>
      <c r="P144" s="1"/>
      <c r="Q144" s="1"/>
      <c r="R144" s="1"/>
      <c r="S144" s="229"/>
      <c r="T144" s="229"/>
      <c r="U144" s="229"/>
      <c r="V144" s="229"/>
      <c r="W144" s="229"/>
      <c r="X144" s="229"/>
    </row>
    <row r="145" spans="1:24" s="257" customFormat="1" x14ac:dyDescent="0.25">
      <c r="A145" s="1242" t="s">
        <v>73</v>
      </c>
      <c r="B145" s="1243"/>
      <c r="C145" s="1243"/>
      <c r="D145" s="1243"/>
      <c r="E145" s="1243"/>
      <c r="F145" s="1243"/>
      <c r="G145" s="1243"/>
      <c r="H145" s="1243"/>
      <c r="I145" s="1244"/>
      <c r="J145" s="61">
        <f>SUMIF(I13:I135,"SB(VB)",J13:J135)</f>
        <v>72.099999999999994</v>
      </c>
      <c r="K145" s="61">
        <f>SUMIF(I13:I135,"SB(VB)",K13:K135)</f>
        <v>110.69999999999999</v>
      </c>
      <c r="L145" s="61">
        <f>SUMIF(I13:I135,"SB(VB)",L13:L135)</f>
        <v>14.1</v>
      </c>
      <c r="M145" s="61">
        <f>SUMIF(I13:I135,"SB(VB)",M13:M135)</f>
        <v>0</v>
      </c>
      <c r="N145" s="39"/>
      <c r="O145" s="1"/>
      <c r="P145" s="1"/>
      <c r="Q145" s="1"/>
      <c r="R145" s="1"/>
      <c r="S145" s="229"/>
      <c r="T145" s="229"/>
      <c r="U145" s="229"/>
      <c r="V145" s="229"/>
      <c r="W145" s="229"/>
      <c r="X145" s="229"/>
    </row>
    <row r="146" spans="1:24" s="257" customFormat="1" ht="27" customHeight="1" x14ac:dyDescent="0.25">
      <c r="A146" s="1242" t="s">
        <v>157</v>
      </c>
      <c r="B146" s="1243"/>
      <c r="C146" s="1243"/>
      <c r="D146" s="1243"/>
      <c r="E146" s="1243"/>
      <c r="F146" s="1243"/>
      <c r="G146" s="1243"/>
      <c r="H146" s="1243"/>
      <c r="I146" s="1244"/>
      <c r="J146" s="61">
        <f>SUMIF(I14:I135,"SB(ESA)",J14:J135)</f>
        <v>0</v>
      </c>
      <c r="K146" s="61">
        <f>SUMIF(I14:I135,"SB(ESA)",K14:K135)</f>
        <v>0</v>
      </c>
      <c r="L146" s="61">
        <f>SUMIF(I14:I135,"SB(ESA)",L14:L135)</f>
        <v>0</v>
      </c>
      <c r="M146" s="61">
        <f>SUMIF(I14:I135,"SB(ESA)",M14:M135)</f>
        <v>0</v>
      </c>
      <c r="N146" s="39"/>
      <c r="O146" s="1"/>
      <c r="P146" s="1"/>
      <c r="Q146" s="1"/>
      <c r="R146" s="1"/>
      <c r="S146" s="229"/>
      <c r="T146" s="229"/>
      <c r="U146" s="229"/>
      <c r="V146" s="229"/>
      <c r="W146" s="229"/>
      <c r="X146" s="229"/>
    </row>
    <row r="147" spans="1:24" s="257" customFormat="1" ht="14.25" customHeight="1" x14ac:dyDescent="0.25">
      <c r="A147" s="1242" t="s">
        <v>109</v>
      </c>
      <c r="B147" s="1243"/>
      <c r="C147" s="1243"/>
      <c r="D147" s="1243"/>
      <c r="E147" s="1243"/>
      <c r="F147" s="1243"/>
      <c r="G147" s="1243"/>
      <c r="H147" s="1243"/>
      <c r="I147" s="1244"/>
      <c r="J147" s="61">
        <f>SUMIF(I15:I135,"SB(ES)",J15:J135)</f>
        <v>1659.3</v>
      </c>
      <c r="K147" s="61">
        <f>SUMIF(I13:I135,"SB(ES)",K13:K135)</f>
        <v>2076.9</v>
      </c>
      <c r="L147" s="61">
        <f>SUMIF(I15:I135,"SB(ES)",L15:L135)</f>
        <v>160.19999999999999</v>
      </c>
      <c r="M147" s="61">
        <f>SUMIF(I15:I135,"SB(ES)",M15:M135)</f>
        <v>0</v>
      </c>
      <c r="N147" s="546"/>
      <c r="O147" s="1"/>
      <c r="P147" s="1"/>
      <c r="Q147" s="1"/>
      <c r="R147" s="1"/>
      <c r="S147" s="229"/>
      <c r="T147" s="229"/>
      <c r="U147" s="229"/>
      <c r="V147" s="229"/>
      <c r="W147" s="229"/>
      <c r="X147" s="229"/>
    </row>
    <row r="148" spans="1:24" s="257" customFormat="1" ht="13.5" customHeight="1" x14ac:dyDescent="0.25">
      <c r="A148" s="1227" t="s">
        <v>74</v>
      </c>
      <c r="B148" s="1228"/>
      <c r="C148" s="1228"/>
      <c r="D148" s="1228"/>
      <c r="E148" s="1228"/>
      <c r="F148" s="1228"/>
      <c r="G148" s="1228"/>
      <c r="H148" s="1228"/>
      <c r="I148" s="1229"/>
      <c r="J148" s="63">
        <f>SUMIF(I14:I135,"SB(AAL)",J14:J135)</f>
        <v>386</v>
      </c>
      <c r="K148" s="63">
        <f>SUMIF(I14:I135,"SB(AAL)",K14:K135)</f>
        <v>15</v>
      </c>
      <c r="L148" s="63">
        <f>SUMIF(I14:I135,"SB(AAL)",L14:L135)</f>
        <v>0</v>
      </c>
      <c r="M148" s="63">
        <f>SUMIF(I14:I135,"SB(AAL)",M14:M135)</f>
        <v>0</v>
      </c>
      <c r="N148" s="39"/>
      <c r="O148" s="1"/>
      <c r="P148" s="1"/>
      <c r="Q148" s="1"/>
      <c r="R148" s="1"/>
      <c r="S148" s="229"/>
      <c r="T148" s="229"/>
      <c r="U148" s="229"/>
      <c r="V148" s="229"/>
      <c r="W148" s="229"/>
      <c r="X148" s="229"/>
    </row>
    <row r="149" spans="1:24" s="257" customFormat="1" ht="25.5" customHeight="1" x14ac:dyDescent="0.25">
      <c r="A149" s="1227" t="s">
        <v>158</v>
      </c>
      <c r="B149" s="1228"/>
      <c r="C149" s="1228"/>
      <c r="D149" s="1228"/>
      <c r="E149" s="1228"/>
      <c r="F149" s="1228"/>
      <c r="G149" s="1228"/>
      <c r="H149" s="1228"/>
      <c r="I149" s="1229"/>
      <c r="J149" s="63">
        <f>SUMIF(I14:I135,"SB(ESL)",J14:J135)</f>
        <v>212.2</v>
      </c>
      <c r="K149" s="63">
        <f>SUMIF(I14:I135,"SB(ESl)",K14:K135)</f>
        <v>0</v>
      </c>
      <c r="L149" s="63">
        <f>SUMIF(I14:I135,"SB(ESL)",L14:L135)</f>
        <v>0</v>
      </c>
      <c r="M149" s="63">
        <f>SUMIF(I14:I135,"SB(ESL)",M14:M135)</f>
        <v>0</v>
      </c>
      <c r="N149" s="39"/>
      <c r="O149" s="1"/>
      <c r="P149" s="1"/>
      <c r="Q149" s="1"/>
      <c r="R149" s="1"/>
      <c r="S149" s="229"/>
      <c r="T149" s="229"/>
      <c r="U149" s="229"/>
      <c r="V149" s="229"/>
      <c r="W149" s="229"/>
      <c r="X149" s="229"/>
    </row>
    <row r="150" spans="1:24" s="257" customFormat="1" x14ac:dyDescent="0.25">
      <c r="A150" s="1227" t="s">
        <v>75</v>
      </c>
      <c r="B150" s="1228"/>
      <c r="C150" s="1228"/>
      <c r="D150" s="1228"/>
      <c r="E150" s="1228"/>
      <c r="F150" s="1228"/>
      <c r="G150" s="1228"/>
      <c r="H150" s="1228"/>
      <c r="I150" s="1229"/>
      <c r="J150" s="63">
        <f>SUMIF(I13:I136,"SB(VRL)",J13:J136)</f>
        <v>1235.5</v>
      </c>
      <c r="K150" s="63">
        <f>SUMIF(I13:I136,"SB(VRL)",K13:K136)</f>
        <v>424.1</v>
      </c>
      <c r="L150" s="63">
        <f>SUMIF(I15:I136,"SB(VRL)",L15:L136)</f>
        <v>428.6</v>
      </c>
      <c r="M150" s="63">
        <f>SUMIF(I15:I136,"SB(VRL)",M15:M136)</f>
        <v>428.6</v>
      </c>
      <c r="N150" s="39"/>
      <c r="O150" s="1"/>
      <c r="P150" s="1"/>
      <c r="Q150" s="1"/>
      <c r="R150" s="1"/>
      <c r="S150" s="229"/>
      <c r="T150" s="229"/>
      <c r="U150" s="229"/>
      <c r="V150" s="229"/>
      <c r="W150" s="229"/>
      <c r="X150" s="229"/>
    </row>
    <row r="151" spans="1:24" s="257" customFormat="1" x14ac:dyDescent="0.25">
      <c r="A151" s="1227" t="s">
        <v>107</v>
      </c>
      <c r="B151" s="1228"/>
      <c r="C151" s="1228"/>
      <c r="D151" s="1228"/>
      <c r="E151" s="1228"/>
      <c r="F151" s="1228"/>
      <c r="G151" s="1228"/>
      <c r="H151" s="1228"/>
      <c r="I151" s="1229"/>
      <c r="J151" s="63">
        <f>SUMIF(I15:I136,"SB(L)",J15:J136)</f>
        <v>470</v>
      </c>
      <c r="K151" s="63">
        <f>SUMIF(I15:I136,"SB(L)",K15:K136)</f>
        <v>0</v>
      </c>
      <c r="L151" s="63">
        <f>SUMIF(I15:I136,"SB(L)",L15:L136)</f>
        <v>0</v>
      </c>
      <c r="M151" s="63">
        <f>SUMIF(I15:I136,"SB(L)",M15:M136)</f>
        <v>0</v>
      </c>
      <c r="N151" s="39"/>
      <c r="O151" s="1"/>
      <c r="P151" s="1"/>
      <c r="Q151" s="1"/>
      <c r="R151" s="1"/>
      <c r="S151" s="229"/>
      <c r="T151" s="229"/>
      <c r="U151" s="229"/>
      <c r="V151" s="229"/>
      <c r="W151" s="229"/>
      <c r="X151" s="229"/>
    </row>
    <row r="152" spans="1:24" s="257" customFormat="1" x14ac:dyDescent="0.25">
      <c r="A152" s="1230" t="s">
        <v>76</v>
      </c>
      <c r="B152" s="1231"/>
      <c r="C152" s="1231"/>
      <c r="D152" s="1231"/>
      <c r="E152" s="1231"/>
      <c r="F152" s="1231"/>
      <c r="G152" s="1231"/>
      <c r="H152" s="1231"/>
      <c r="I152" s="1232"/>
      <c r="J152" s="55">
        <f>SUM(J153:J155)</f>
        <v>88.7</v>
      </c>
      <c r="K152" s="55">
        <f>SUM(K153:K155)</f>
        <v>22</v>
      </c>
      <c r="L152" s="55">
        <f>SUM(L153:L155)</f>
        <v>0</v>
      </c>
      <c r="M152" s="55">
        <f>SUM(M153:M155)</f>
        <v>0</v>
      </c>
      <c r="N152" s="39"/>
      <c r="O152" s="1"/>
      <c r="P152" s="1"/>
      <c r="Q152" s="1"/>
      <c r="R152" s="1"/>
      <c r="S152" s="229"/>
      <c r="T152" s="229"/>
      <c r="U152" s="229"/>
      <c r="V152" s="229"/>
      <c r="W152" s="229"/>
      <c r="X152" s="229"/>
    </row>
    <row r="153" spans="1:24" s="257" customFormat="1" x14ac:dyDescent="0.25">
      <c r="A153" s="1233" t="s">
        <v>77</v>
      </c>
      <c r="B153" s="1234"/>
      <c r="C153" s="1234"/>
      <c r="D153" s="1234"/>
      <c r="E153" s="1234"/>
      <c r="F153" s="1234"/>
      <c r="G153" s="1234"/>
      <c r="H153" s="1346"/>
      <c r="I153" s="1235"/>
      <c r="J153" s="61">
        <f>SUMIF(I13:I135,"ES",J13:J135)</f>
        <v>0</v>
      </c>
      <c r="K153" s="61">
        <f>SUMIF(I13:I135,"ES",K13:K135)</f>
        <v>0</v>
      </c>
      <c r="L153" s="61">
        <f>SUMIF(I13:I135,"ES",L13:L135)</f>
        <v>0</v>
      </c>
      <c r="M153" s="61">
        <f>SUMIF(I13:I135,"ES",M13:M135)</f>
        <v>0</v>
      </c>
      <c r="N153" s="39"/>
      <c r="O153" s="1"/>
      <c r="P153" s="1"/>
      <c r="Q153" s="1"/>
      <c r="R153" s="1"/>
      <c r="S153" s="229"/>
      <c r="T153" s="229"/>
      <c r="U153" s="229"/>
      <c r="V153" s="229"/>
      <c r="W153" s="229"/>
      <c r="X153" s="229"/>
    </row>
    <row r="154" spans="1:24" s="257" customFormat="1" x14ac:dyDescent="0.25">
      <c r="A154" s="1236" t="s">
        <v>78</v>
      </c>
      <c r="B154" s="1237"/>
      <c r="C154" s="1237"/>
      <c r="D154" s="1237"/>
      <c r="E154" s="1237"/>
      <c r="F154" s="1237"/>
      <c r="G154" s="1237"/>
      <c r="H154" s="1347"/>
      <c r="I154" s="1238"/>
      <c r="J154" s="61">
        <f>SUMIF(I14:I135,"LRVB",J14:J135)</f>
        <v>0</v>
      </c>
      <c r="K154" s="61">
        <f>SUMIF(I14:I135,"LRVB",K14:K135)</f>
        <v>0</v>
      </c>
      <c r="L154" s="61">
        <f>SUMIF(I14:I135,"LRVB",L14:L135)</f>
        <v>0</v>
      </c>
      <c r="M154" s="61">
        <f>SUMIF(I14:I135,"LRVB",M14:M135)</f>
        <v>0</v>
      </c>
      <c r="N154" s="39"/>
      <c r="O154" s="1"/>
      <c r="P154" s="1"/>
      <c r="Q154" s="1"/>
      <c r="R154" s="1"/>
      <c r="S154" s="229"/>
      <c r="T154" s="229"/>
      <c r="U154" s="229"/>
      <c r="V154" s="229"/>
      <c r="W154" s="229"/>
      <c r="X154" s="229"/>
    </row>
    <row r="155" spans="1:24" s="257" customFormat="1" x14ac:dyDescent="0.25">
      <c r="A155" s="1236" t="s">
        <v>79</v>
      </c>
      <c r="B155" s="1237"/>
      <c r="C155" s="1237"/>
      <c r="D155" s="1237"/>
      <c r="E155" s="1237"/>
      <c r="F155" s="1237"/>
      <c r="G155" s="1237"/>
      <c r="H155" s="1347"/>
      <c r="I155" s="1238"/>
      <c r="J155" s="61">
        <f>SUMIF(I13:I135,"Kt",J13:J135)</f>
        <v>88.7</v>
      </c>
      <c r="K155" s="61">
        <f>SUMIF(I13:I135,"Kt",K13:K135)</f>
        <v>22</v>
      </c>
      <c r="L155" s="61">
        <f>SUMIF(I13:I135,"Kt",L13:L135)</f>
        <v>0</v>
      </c>
      <c r="M155" s="61">
        <f>SUMIF(I13:I135,"Kt",M13:M135)</f>
        <v>0</v>
      </c>
      <c r="N155" s="39"/>
      <c r="O155" s="1"/>
      <c r="P155" s="1"/>
      <c r="Q155" s="1"/>
      <c r="R155" s="1"/>
      <c r="S155" s="229"/>
      <c r="T155" s="229"/>
      <c r="U155" s="229"/>
      <c r="V155" s="229"/>
      <c r="W155" s="229"/>
      <c r="X155" s="229"/>
    </row>
    <row r="156" spans="1:24" s="257" customFormat="1" ht="13.5" thickBot="1" x14ac:dyDescent="0.3">
      <c r="A156" s="1239" t="s">
        <v>80</v>
      </c>
      <c r="B156" s="1240"/>
      <c r="C156" s="1240"/>
      <c r="D156" s="1240"/>
      <c r="E156" s="1240"/>
      <c r="F156" s="1240"/>
      <c r="G156" s="1240"/>
      <c r="H156" s="1240"/>
      <c r="I156" s="1241"/>
      <c r="J156" s="56">
        <f>SUM(J140,J152)</f>
        <v>9803.2000000000007</v>
      </c>
      <c r="K156" s="56">
        <f>SUM(K140,K152)</f>
        <v>9315.1</v>
      </c>
      <c r="L156" s="56">
        <f>SUM(L140,L152)</f>
        <v>7308.8</v>
      </c>
      <c r="M156" s="56">
        <f>SUM(M140,M152)</f>
        <v>5582.3</v>
      </c>
      <c r="N156" s="11"/>
      <c r="S156" s="229"/>
      <c r="T156" s="229"/>
      <c r="U156" s="229"/>
      <c r="V156" s="229"/>
      <c r="W156" s="229"/>
      <c r="X156" s="229"/>
    </row>
    <row r="157" spans="1:24" s="257" customFormat="1" x14ac:dyDescent="0.25">
      <c r="A157" s="1"/>
      <c r="B157" s="1"/>
      <c r="C157" s="1"/>
      <c r="D157" s="1"/>
      <c r="E157" s="1"/>
      <c r="F157" s="1"/>
      <c r="G157" s="2"/>
      <c r="H157" s="2"/>
      <c r="I157" s="614"/>
      <c r="J157" s="614"/>
      <c r="K157" s="614"/>
      <c r="L157" s="614"/>
      <c r="M157" s="614"/>
      <c r="N157" s="39"/>
      <c r="O157" s="1"/>
      <c r="P157" s="1"/>
      <c r="Q157" s="1"/>
      <c r="R157" s="1"/>
      <c r="S157" s="229"/>
      <c r="T157" s="229"/>
      <c r="U157" s="229"/>
      <c r="V157" s="229"/>
      <c r="W157" s="229"/>
      <c r="X157" s="229"/>
    </row>
    <row r="159" spans="1:24" x14ac:dyDescent="0.2">
      <c r="J159" s="304"/>
      <c r="K159" s="304"/>
      <c r="L159" s="304"/>
      <c r="M159" s="304"/>
    </row>
    <row r="160" spans="1:24" x14ac:dyDescent="0.2">
      <c r="J160" s="304"/>
      <c r="K160" s="304"/>
      <c r="L160" s="304"/>
      <c r="M160" s="304"/>
    </row>
    <row r="161" spans="10:13" x14ac:dyDescent="0.2">
      <c r="J161" s="304"/>
      <c r="K161" s="304"/>
      <c r="L161" s="304"/>
      <c r="M161" s="304"/>
    </row>
    <row r="162" spans="10:13" x14ac:dyDescent="0.2">
      <c r="J162" s="304"/>
      <c r="K162" s="304"/>
      <c r="L162" s="304"/>
      <c r="M162" s="304"/>
    </row>
  </sheetData>
  <mergeCells count="193">
    <mergeCell ref="A139:I139"/>
    <mergeCell ref="A127:A132"/>
    <mergeCell ref="A72:A90"/>
    <mergeCell ref="B72:B90"/>
    <mergeCell ref="G77:G81"/>
    <mergeCell ref="N77:N80"/>
    <mergeCell ref="N82:N84"/>
    <mergeCell ref="A138:I138"/>
    <mergeCell ref="B127:B132"/>
    <mergeCell ref="C127:C132"/>
    <mergeCell ref="E127:E132"/>
    <mergeCell ref="F127:F132"/>
    <mergeCell ref="G127:G132"/>
    <mergeCell ref="H127:H132"/>
    <mergeCell ref="N94:N98"/>
    <mergeCell ref="N111:N113"/>
    <mergeCell ref="E111:E113"/>
    <mergeCell ref="F111:F113"/>
    <mergeCell ref="H111:H113"/>
    <mergeCell ref="A111:A113"/>
    <mergeCell ref="G114:G116"/>
    <mergeCell ref="A136:M136"/>
    <mergeCell ref="N135:R135"/>
    <mergeCell ref="N133:R133"/>
    <mergeCell ref="E114:E116"/>
    <mergeCell ref="H114:H116"/>
    <mergeCell ref="F79:F81"/>
    <mergeCell ref="N67:N68"/>
    <mergeCell ref="F67:F70"/>
    <mergeCell ref="H72:H76"/>
    <mergeCell ref="F73:F76"/>
    <mergeCell ref="E82:E86"/>
    <mergeCell ref="N115:N116"/>
    <mergeCell ref="H67:H69"/>
    <mergeCell ref="H28:H30"/>
    <mergeCell ref="A156:I156"/>
    <mergeCell ref="A143:I143"/>
    <mergeCell ref="A144:I144"/>
    <mergeCell ref="A145:I145"/>
    <mergeCell ref="A146:I146"/>
    <mergeCell ref="A148:I148"/>
    <mergeCell ref="A140:I140"/>
    <mergeCell ref="A141:I141"/>
    <mergeCell ref="A142:I142"/>
    <mergeCell ref="A147:I147"/>
    <mergeCell ref="A149:I149"/>
    <mergeCell ref="A152:I152"/>
    <mergeCell ref="A153:I153"/>
    <mergeCell ref="A154:I154"/>
    <mergeCell ref="A151:I151"/>
    <mergeCell ref="A155:I155"/>
    <mergeCell ref="A150:I150"/>
    <mergeCell ref="H94:H98"/>
    <mergeCell ref="F94:F98"/>
    <mergeCell ref="B135:I135"/>
    <mergeCell ref="C133:I133"/>
    <mergeCell ref="E117:E119"/>
    <mergeCell ref="H117:H119"/>
    <mergeCell ref="C38:R38"/>
    <mergeCell ref="C34:C36"/>
    <mergeCell ref="A34:A36"/>
    <mergeCell ref="H39:H41"/>
    <mergeCell ref="H31:H33"/>
    <mergeCell ref="N31:N32"/>
    <mergeCell ref="N134:R134"/>
    <mergeCell ref="B34:B36"/>
    <mergeCell ref="B134:I134"/>
    <mergeCell ref="E102:E104"/>
    <mergeCell ref="H105:H106"/>
    <mergeCell ref="H102:H104"/>
    <mergeCell ref="A114:A116"/>
    <mergeCell ref="G111:G113"/>
    <mergeCell ref="B111:B113"/>
    <mergeCell ref="C111:C113"/>
    <mergeCell ref="B114:B116"/>
    <mergeCell ref="C72:C90"/>
    <mergeCell ref="C49:I49"/>
    <mergeCell ref="F52:F54"/>
    <mergeCell ref="E77:E81"/>
    <mergeCell ref="F83:F86"/>
    <mergeCell ref="H77:H81"/>
    <mergeCell ref="H107:H108"/>
    <mergeCell ref="E34:E35"/>
    <mergeCell ref="F34:F35"/>
    <mergeCell ref="G34:G36"/>
    <mergeCell ref="H34:H36"/>
    <mergeCell ref="G13:G18"/>
    <mergeCell ref="G31:G33"/>
    <mergeCell ref="A39:A41"/>
    <mergeCell ref="B39:B41"/>
    <mergeCell ref="C39:C41"/>
    <mergeCell ref="G39:G41"/>
    <mergeCell ref="E40:E41"/>
    <mergeCell ref="F40:F41"/>
    <mergeCell ref="A28:A30"/>
    <mergeCell ref="B28:B30"/>
    <mergeCell ref="C28:C30"/>
    <mergeCell ref="E28:E29"/>
    <mergeCell ref="G28:G30"/>
    <mergeCell ref="F29:F30"/>
    <mergeCell ref="A31:A33"/>
    <mergeCell ref="B31:B33"/>
    <mergeCell ref="C31:C33"/>
    <mergeCell ref="E31:E32"/>
    <mergeCell ref="F31:F32"/>
    <mergeCell ref="C37:I37"/>
    <mergeCell ref="N1:R1"/>
    <mergeCell ref="A2:R2"/>
    <mergeCell ref="A3:R3"/>
    <mergeCell ref="A4:R4"/>
    <mergeCell ref="N5:R5"/>
    <mergeCell ref="G20:G22"/>
    <mergeCell ref="A6:A8"/>
    <mergeCell ref="B6:B8"/>
    <mergeCell ref="C6:C8"/>
    <mergeCell ref="D6:D8"/>
    <mergeCell ref="E6:E8"/>
    <mergeCell ref="N6:R6"/>
    <mergeCell ref="N7:N8"/>
    <mergeCell ref="J6:J8"/>
    <mergeCell ref="F6:F8"/>
    <mergeCell ref="O7:R7"/>
    <mergeCell ref="G6:G8"/>
    <mergeCell ref="H6:H8"/>
    <mergeCell ref="M6:M8"/>
    <mergeCell ref="I6:I8"/>
    <mergeCell ref="F20:F22"/>
    <mergeCell ref="H16:H18"/>
    <mergeCell ref="N16:N18"/>
    <mergeCell ref="C12:R12"/>
    <mergeCell ref="K6:K8"/>
    <mergeCell ref="A9:R9"/>
    <mergeCell ref="A10:R10"/>
    <mergeCell ref="B11:R11"/>
    <mergeCell ref="A25:A27"/>
    <mergeCell ref="B25:B27"/>
    <mergeCell ref="C25:C27"/>
    <mergeCell ref="E25:E27"/>
    <mergeCell ref="F25:F27"/>
    <mergeCell ref="A20:A22"/>
    <mergeCell ref="B20:B22"/>
    <mergeCell ref="C20:C22"/>
    <mergeCell ref="G25:G27"/>
    <mergeCell ref="H25:H27"/>
    <mergeCell ref="E16:E18"/>
    <mergeCell ref="H20:H22"/>
    <mergeCell ref="E14:E15"/>
    <mergeCell ref="H14:H15"/>
    <mergeCell ref="N14:N15"/>
    <mergeCell ref="F13:F18"/>
    <mergeCell ref="E20:E21"/>
    <mergeCell ref="L6:L8"/>
    <mergeCell ref="N49:R49"/>
    <mergeCell ref="C50:R50"/>
    <mergeCell ref="E63:E66"/>
    <mergeCell ref="D77:D81"/>
    <mergeCell ref="H51:H53"/>
    <mergeCell ref="F42:F44"/>
    <mergeCell ref="E72:E76"/>
    <mergeCell ref="G72:G76"/>
    <mergeCell ref="E67:E70"/>
    <mergeCell ref="E56:E58"/>
    <mergeCell ref="N42:N43"/>
    <mergeCell ref="E46:E47"/>
    <mergeCell ref="N46:N47"/>
    <mergeCell ref="N74:N75"/>
    <mergeCell ref="F64:F66"/>
    <mergeCell ref="H64:H66"/>
    <mergeCell ref="N64:N66"/>
    <mergeCell ref="N128:N129"/>
    <mergeCell ref="N130:N131"/>
    <mergeCell ref="E87:E89"/>
    <mergeCell ref="H87:H89"/>
    <mergeCell ref="N87:N89"/>
    <mergeCell ref="F88:F89"/>
    <mergeCell ref="N103:N104"/>
    <mergeCell ref="E91:E93"/>
    <mergeCell ref="E94:E98"/>
    <mergeCell ref="F91:F93"/>
    <mergeCell ref="C122:R122"/>
    <mergeCell ref="C114:C116"/>
    <mergeCell ref="D114:D116"/>
    <mergeCell ref="D123:D125"/>
    <mergeCell ref="C121:I121"/>
    <mergeCell ref="N121:R121"/>
    <mergeCell ref="E105:E106"/>
    <mergeCell ref="H99:H101"/>
    <mergeCell ref="E99:E101"/>
    <mergeCell ref="E123:E125"/>
    <mergeCell ref="H123:H125"/>
    <mergeCell ref="N123:N125"/>
    <mergeCell ref="F114:F116"/>
    <mergeCell ref="E107:E108"/>
  </mergeCells>
  <printOptions horizontalCentered="1"/>
  <pageMargins left="0.47244094488188981" right="0.19685039370078741" top="0.39370078740157483" bottom="0.39370078740157483" header="0.31496062992125984" footer="0.31496062992125984"/>
  <pageSetup paperSize="9" scale="6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 </vt:lpstr>
      <vt:lpstr>'5 programa'!Print_Area</vt:lpstr>
      <vt:lpstr>'Aiškinamoji lentelė '!Print_Area</vt:lpstr>
      <vt:lpstr>'Lyginamasis variantas'!Print_Area</vt:lpstr>
      <vt:lpstr>'5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2019-10-04T12:08:23Z</cp:lastPrinted>
  <dcterms:created xsi:type="dcterms:W3CDTF">2015-10-26T14:41:47Z</dcterms:created>
  <dcterms:modified xsi:type="dcterms:W3CDTF">2019-10-08T10:27:25Z</dcterms:modified>
</cp:coreProperties>
</file>