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300pr\"/>
    </mc:Choice>
  </mc:AlternateContent>
  <bookViews>
    <workbookView xWindow="30" yWindow="3285" windowWidth="15480" windowHeight="8100"/>
  </bookViews>
  <sheets>
    <sheet name="7 programa" sheetId="18" r:id="rId1"/>
    <sheet name="Lyginamasis variantas" sheetId="19" r:id="rId2"/>
    <sheet name="aiškinamoji lentelė" sheetId="10" state="hidden" r:id="rId3"/>
  </sheets>
  <definedNames>
    <definedName name="_xlnm.Print_Area" localSheetId="0">'7 programa'!$A$1:$N$267</definedName>
    <definedName name="_xlnm.Print_Area" localSheetId="2">'aiškinamoji lentelė'!$A$1:$R$279</definedName>
    <definedName name="_xlnm.Print_Area" localSheetId="1">'Lyginamasis variantas'!$A$1:$U$263</definedName>
    <definedName name="_xlnm.Print_Titles" localSheetId="0">'7 programa'!$10:$12</definedName>
    <definedName name="_xlnm.Print_Titles" localSheetId="2">'aiškinamoji lentelė'!$7:$9</definedName>
    <definedName name="_xlnm.Print_Titles" localSheetId="1">'Lyginamasis variantas'!$8:$10</definedName>
  </definedNames>
  <calcPr calcId="162913" fullPrecision="0"/>
</workbook>
</file>

<file path=xl/calcChain.xml><?xml version="1.0" encoding="utf-8"?>
<calcChain xmlns="http://schemas.openxmlformats.org/spreadsheetml/2006/main">
  <c r="I230" i="18" l="1"/>
  <c r="K244" i="10"/>
  <c r="M228" i="19"/>
  <c r="L228" i="19"/>
  <c r="J244" i="10" l="1"/>
  <c r="J241" i="10"/>
  <c r="I145" i="18"/>
  <c r="H145" i="18"/>
  <c r="I144" i="18"/>
  <c r="H144" i="18"/>
  <c r="K171" i="10"/>
  <c r="J171" i="10"/>
  <c r="K169" i="10"/>
  <c r="J169" i="10"/>
  <c r="M161" i="19"/>
  <c r="M160" i="19"/>
  <c r="J161" i="19"/>
  <c r="J160" i="19"/>
  <c r="K161" i="10"/>
  <c r="J161" i="10"/>
  <c r="K159" i="10"/>
  <c r="J159" i="10"/>
  <c r="M155" i="19"/>
  <c r="M154" i="19"/>
  <c r="J155" i="19"/>
  <c r="J154" i="19"/>
  <c r="K156" i="10"/>
  <c r="K157" i="10"/>
  <c r="J157" i="10"/>
  <c r="M152" i="19" l="1"/>
  <c r="M151" i="19"/>
  <c r="J152" i="19"/>
  <c r="J151" i="19"/>
  <c r="K241" i="10" l="1"/>
  <c r="L241" i="10"/>
  <c r="M241" i="10"/>
  <c r="H218" i="18"/>
  <c r="J225" i="19"/>
  <c r="I225" i="19"/>
  <c r="J224" i="19"/>
  <c r="H136" i="18"/>
  <c r="J141" i="10"/>
  <c r="J135" i="19"/>
  <c r="I135" i="19"/>
  <c r="J228" i="19" l="1"/>
  <c r="I228" i="19"/>
  <c r="H198" i="18"/>
  <c r="H199" i="18"/>
  <c r="J212" i="10"/>
  <c r="J199" i="19"/>
  <c r="J198" i="19"/>
  <c r="H115" i="18"/>
  <c r="J129" i="10"/>
  <c r="J122" i="19"/>
  <c r="I78" i="18"/>
  <c r="P91" i="19"/>
  <c r="P88" i="19"/>
  <c r="M88" i="19"/>
  <c r="L84" i="10"/>
  <c r="K81" i="10"/>
  <c r="I63" i="18" l="1"/>
  <c r="H63" i="18"/>
  <c r="J71" i="10"/>
  <c r="J74" i="19"/>
  <c r="M65" i="19"/>
  <c r="M76" i="19"/>
  <c r="L76" i="19"/>
  <c r="M74" i="19"/>
  <c r="K62" i="10"/>
  <c r="J49" i="10"/>
  <c r="J50" i="10"/>
  <c r="H17" i="18"/>
  <c r="H18" i="18"/>
  <c r="J50" i="19"/>
  <c r="J48" i="19"/>
  <c r="I17" i="18"/>
  <c r="J47" i="10"/>
  <c r="J46" i="10"/>
  <c r="M46" i="19"/>
  <c r="J47" i="19"/>
  <c r="J46" i="19"/>
  <c r="J198" i="10" l="1"/>
  <c r="J195" i="10"/>
  <c r="J121" i="10"/>
  <c r="J119" i="10"/>
  <c r="J64" i="10" l="1"/>
  <c r="J62" i="10"/>
  <c r="J68" i="10" l="1"/>
  <c r="J24" i="10" l="1"/>
  <c r="J20" i="10"/>
  <c r="L116" i="10" l="1"/>
  <c r="H217" i="18"/>
  <c r="L278" i="10"/>
  <c r="L277" i="10"/>
  <c r="L276" i="10"/>
  <c r="L275" i="10"/>
  <c r="L273" i="10"/>
  <c r="L272" i="10"/>
  <c r="L271" i="10"/>
  <c r="L270" i="10"/>
  <c r="K270" i="10"/>
  <c r="M270" i="10"/>
  <c r="L269" i="10"/>
  <c r="L268" i="10"/>
  <c r="L267" i="10"/>
  <c r="L266" i="10"/>
  <c r="L265" i="10"/>
  <c r="L264" i="10"/>
  <c r="L263" i="10"/>
  <c r="L253" i="10"/>
  <c r="L250" i="10"/>
  <c r="L247" i="10"/>
  <c r="L212" i="10"/>
  <c r="L231" i="10" s="1"/>
  <c r="L242" i="10" s="1"/>
  <c r="L208" i="10"/>
  <c r="L209" i="10" s="1"/>
  <c r="L191" i="10"/>
  <c r="L183" i="10"/>
  <c r="L146" i="10"/>
  <c r="L143" i="10"/>
  <c r="L140" i="10"/>
  <c r="L72" i="10"/>
  <c r="L60" i="10"/>
  <c r="I61" i="19"/>
  <c r="L254" i="10" l="1"/>
  <c r="L274" i="10"/>
  <c r="L262" i="10"/>
  <c r="L261" i="10" s="1"/>
  <c r="L192" i="10"/>
  <c r="L255" i="10" s="1"/>
  <c r="L256" i="10" s="1"/>
  <c r="K77" i="19"/>
  <c r="L77" i="19"/>
  <c r="H77" i="19"/>
  <c r="I77" i="19"/>
  <c r="K196" i="19"/>
  <c r="L196" i="19"/>
  <c r="I216" i="19"/>
  <c r="L279" i="10" l="1"/>
  <c r="M183" i="10"/>
  <c r="T159" i="10" l="1"/>
  <c r="I198" i="18" l="1"/>
  <c r="K224" i="10"/>
  <c r="H78" i="18"/>
  <c r="J78" i="10"/>
  <c r="I113" i="19"/>
  <c r="M276" i="10" l="1"/>
  <c r="K276" i="10"/>
  <c r="O171" i="19"/>
  <c r="L171" i="19"/>
  <c r="H173" i="18"/>
  <c r="U165" i="10"/>
  <c r="I171" i="19" l="1"/>
  <c r="U166" i="10"/>
  <c r="K183" i="10"/>
  <c r="T165" i="10"/>
  <c r="U164" i="10"/>
  <c r="U163" i="10"/>
  <c r="T163" i="10"/>
  <c r="U162" i="10"/>
  <c r="U160" i="10"/>
  <c r="U159" i="10" l="1"/>
  <c r="U167" i="10" s="1"/>
  <c r="H171" i="19"/>
  <c r="J164" i="10"/>
  <c r="J155" i="10"/>
  <c r="T160" i="10" s="1"/>
  <c r="N171" i="19" l="1"/>
  <c r="K171" i="19"/>
  <c r="H227" i="18" l="1"/>
  <c r="M171" i="19" l="1"/>
  <c r="J171" i="19"/>
  <c r="P171" i="19" l="1"/>
  <c r="H114" i="19"/>
  <c r="I114" i="19"/>
  <c r="I15" i="19"/>
  <c r="H15" i="19"/>
  <c r="I134" i="19" l="1"/>
  <c r="I60" i="19" l="1"/>
  <c r="J122" i="10" l="1"/>
  <c r="J140" i="10" l="1"/>
  <c r="P258" i="19" l="1"/>
  <c r="P260" i="19"/>
  <c r="P261" i="19"/>
  <c r="P252" i="19"/>
  <c r="P250" i="19"/>
  <c r="O261" i="19"/>
  <c r="N261" i="19"/>
  <c r="O260" i="19"/>
  <c r="N260" i="19"/>
  <c r="O259" i="19"/>
  <c r="N259" i="19"/>
  <c r="O258" i="19"/>
  <c r="N258" i="19"/>
  <c r="N256" i="19"/>
  <c r="N253" i="19"/>
  <c r="O256" i="19"/>
  <c r="O255" i="19"/>
  <c r="N255" i="19"/>
  <c r="O254" i="19"/>
  <c r="N254" i="19"/>
  <c r="O253" i="19"/>
  <c r="O252" i="19"/>
  <c r="N252" i="19"/>
  <c r="O251" i="19"/>
  <c r="N251" i="19"/>
  <c r="O250" i="19"/>
  <c r="N250" i="19"/>
  <c r="O249" i="19"/>
  <c r="N249" i="19"/>
  <c r="P247" i="19"/>
  <c r="O248" i="19"/>
  <c r="N248" i="19"/>
  <c r="O247" i="19"/>
  <c r="N247" i="19"/>
  <c r="L261" i="19"/>
  <c r="K261" i="19"/>
  <c r="L260" i="19"/>
  <c r="K260" i="19"/>
  <c r="L259" i="19"/>
  <c r="K259" i="19"/>
  <c r="L258" i="19"/>
  <c r="K258" i="19"/>
  <c r="M256" i="19"/>
  <c r="L256" i="19"/>
  <c r="K256" i="19"/>
  <c r="L255" i="19"/>
  <c r="K255" i="19"/>
  <c r="K254" i="19"/>
  <c r="L254" i="19"/>
  <c r="L253" i="19"/>
  <c r="K253" i="19"/>
  <c r="L252" i="19"/>
  <c r="K252" i="19"/>
  <c r="K251" i="19"/>
  <c r="L251" i="19"/>
  <c r="L250" i="19"/>
  <c r="K250" i="19"/>
  <c r="L249" i="19"/>
  <c r="K249" i="19"/>
  <c r="L248" i="19"/>
  <c r="K248" i="19"/>
  <c r="L247" i="19"/>
  <c r="K247" i="19"/>
  <c r="I261" i="19"/>
  <c r="H261" i="19"/>
  <c r="I260" i="19"/>
  <c r="H260" i="19"/>
  <c r="I259" i="19"/>
  <c r="H259" i="19"/>
  <c r="I258" i="19"/>
  <c r="H258" i="19"/>
  <c r="I256" i="19"/>
  <c r="H256" i="19"/>
  <c r="I255" i="19"/>
  <c r="H255" i="19"/>
  <c r="I254" i="19"/>
  <c r="H254" i="19"/>
  <c r="I252" i="19"/>
  <c r="H252" i="19"/>
  <c r="I251" i="19"/>
  <c r="H251" i="19"/>
  <c r="J250" i="19"/>
  <c r="I250" i="19"/>
  <c r="H250" i="19"/>
  <c r="I249" i="19"/>
  <c r="H249" i="19"/>
  <c r="I248" i="19"/>
  <c r="H248" i="19"/>
  <c r="I247" i="19"/>
  <c r="H247" i="19"/>
  <c r="O236" i="19"/>
  <c r="O233" i="19"/>
  <c r="O230" i="19"/>
  <c r="O225" i="19"/>
  <c r="O196" i="19"/>
  <c r="O215" i="19" s="1"/>
  <c r="O193" i="19"/>
  <c r="O194" i="19" s="1"/>
  <c r="O140" i="19"/>
  <c r="O137" i="19"/>
  <c r="O134" i="19"/>
  <c r="O113" i="19"/>
  <c r="O76" i="19"/>
  <c r="O15" i="19"/>
  <c r="O60" i="19" s="1"/>
  <c r="N236" i="19"/>
  <c r="N233" i="19"/>
  <c r="N230" i="19"/>
  <c r="N225" i="19"/>
  <c r="N196" i="19"/>
  <c r="N215" i="19" s="1"/>
  <c r="N193" i="19"/>
  <c r="N194" i="19" s="1"/>
  <c r="N140" i="19"/>
  <c r="N137" i="19"/>
  <c r="N134" i="19"/>
  <c r="N113" i="19"/>
  <c r="N76" i="19"/>
  <c r="N15" i="19"/>
  <c r="N60" i="19" s="1"/>
  <c r="L236" i="19"/>
  <c r="L233" i="19"/>
  <c r="L230" i="19"/>
  <c r="L225" i="19"/>
  <c r="L215" i="19"/>
  <c r="L193" i="19"/>
  <c r="L194" i="19" s="1"/>
  <c r="L175" i="19"/>
  <c r="L140" i="19"/>
  <c r="L137" i="19"/>
  <c r="L134" i="19"/>
  <c r="L113" i="19"/>
  <c r="L15" i="19"/>
  <c r="L246" i="19" s="1"/>
  <c r="K236" i="19"/>
  <c r="K233" i="19"/>
  <c r="K230" i="19"/>
  <c r="K225" i="19"/>
  <c r="K215" i="19"/>
  <c r="K193" i="19"/>
  <c r="K194" i="19" s="1"/>
  <c r="K175" i="19"/>
  <c r="K140" i="19"/>
  <c r="K137" i="19"/>
  <c r="K134" i="19"/>
  <c r="K113" i="19"/>
  <c r="K76" i="19"/>
  <c r="K15" i="19"/>
  <c r="K60" i="19" s="1"/>
  <c r="H236" i="19"/>
  <c r="H233" i="19"/>
  <c r="H229" i="19"/>
  <c r="H230" i="19" s="1"/>
  <c r="H225" i="19"/>
  <c r="H197" i="19"/>
  <c r="H193" i="19"/>
  <c r="H194" i="19" s="1"/>
  <c r="H175" i="19"/>
  <c r="H140" i="19"/>
  <c r="H137" i="19"/>
  <c r="H113" i="19"/>
  <c r="H76" i="19"/>
  <c r="H60" i="19"/>
  <c r="I246" i="19"/>
  <c r="I137" i="19"/>
  <c r="I140" i="19"/>
  <c r="I175" i="19"/>
  <c r="I193" i="19"/>
  <c r="I194" i="19" s="1"/>
  <c r="I197" i="19"/>
  <c r="I215" i="19" s="1"/>
  <c r="I229" i="19"/>
  <c r="I230" i="19" s="1"/>
  <c r="I233" i="19"/>
  <c r="I236" i="19"/>
  <c r="K176" i="19" l="1"/>
  <c r="N176" i="19"/>
  <c r="O176" i="19"/>
  <c r="H253" i="19"/>
  <c r="I237" i="19"/>
  <c r="L60" i="19"/>
  <c r="L176" i="19" s="1"/>
  <c r="H215" i="19"/>
  <c r="H226" i="19" s="1"/>
  <c r="N226" i="19"/>
  <c r="O246" i="19"/>
  <c r="O245" i="19" s="1"/>
  <c r="O244" i="19" s="1"/>
  <c r="H134" i="19"/>
  <c r="H176" i="19" s="1"/>
  <c r="K246" i="19"/>
  <c r="K245" i="19" s="1"/>
  <c r="K244" i="19" s="1"/>
  <c r="H246" i="19"/>
  <c r="H245" i="19" s="1"/>
  <c r="I226" i="19"/>
  <c r="I253" i="19"/>
  <c r="I76" i="19"/>
  <c r="I176" i="19" s="1"/>
  <c r="K226" i="19"/>
  <c r="L226" i="19"/>
  <c r="N237" i="19"/>
  <c r="O226" i="19"/>
  <c r="H237" i="19"/>
  <c r="K237" i="19"/>
  <c r="L237" i="19"/>
  <c r="O237" i="19"/>
  <c r="N246" i="19"/>
  <c r="N245" i="19" s="1"/>
  <c r="N244" i="19" s="1"/>
  <c r="O257" i="19"/>
  <c r="N257" i="19"/>
  <c r="L257" i="19"/>
  <c r="K257" i="19"/>
  <c r="L245" i="19"/>
  <c r="L244" i="19" s="1"/>
  <c r="I257" i="19"/>
  <c r="H257" i="19"/>
  <c r="I245" i="19"/>
  <c r="I238" i="19" l="1"/>
  <c r="I239" i="19" s="1"/>
  <c r="K238" i="19"/>
  <c r="K239" i="19" s="1"/>
  <c r="H244" i="19"/>
  <c r="H262" i="19" s="1"/>
  <c r="O238" i="19"/>
  <c r="O239" i="19" s="1"/>
  <c r="N262" i="19"/>
  <c r="L238" i="19"/>
  <c r="L239" i="19" s="1"/>
  <c r="H238" i="19"/>
  <c r="H239" i="19" s="1"/>
  <c r="K262" i="19"/>
  <c r="N238" i="19"/>
  <c r="N239" i="19" s="1"/>
  <c r="I244" i="19"/>
  <c r="I262" i="19" s="1"/>
  <c r="L262" i="19"/>
  <c r="O262" i="19"/>
  <c r="M261" i="19" l="1"/>
  <c r="J261" i="19"/>
  <c r="M260" i="19"/>
  <c r="J260" i="19"/>
  <c r="P259" i="19"/>
  <c r="M259" i="19"/>
  <c r="J259" i="19"/>
  <c r="M258" i="19"/>
  <c r="J258" i="19"/>
  <c r="J256" i="19"/>
  <c r="M255" i="19"/>
  <c r="J255" i="19"/>
  <c r="M254" i="19"/>
  <c r="J254" i="19"/>
  <c r="M253" i="19"/>
  <c r="M252" i="19"/>
  <c r="J252" i="19"/>
  <c r="P251" i="19"/>
  <c r="M251" i="19"/>
  <c r="J251" i="19"/>
  <c r="M250" i="19"/>
  <c r="P249" i="19"/>
  <c r="M249" i="19"/>
  <c r="J249" i="19"/>
  <c r="P248" i="19"/>
  <c r="M248" i="19"/>
  <c r="J248" i="19"/>
  <c r="M247" i="19"/>
  <c r="J247" i="19"/>
  <c r="P236" i="19"/>
  <c r="M236" i="19"/>
  <c r="J236" i="19"/>
  <c r="P233" i="19"/>
  <c r="M233" i="19"/>
  <c r="J233" i="19"/>
  <c r="P230" i="19"/>
  <c r="M230" i="19"/>
  <c r="J230" i="19"/>
  <c r="P225" i="19"/>
  <c r="M225" i="19"/>
  <c r="J215" i="19"/>
  <c r="P215" i="19"/>
  <c r="M215" i="19"/>
  <c r="P193" i="19"/>
  <c r="P194" i="19" s="1"/>
  <c r="M193" i="19"/>
  <c r="M194" i="19" s="1"/>
  <c r="J193" i="19"/>
  <c r="J194" i="19" s="1"/>
  <c r="M175" i="19"/>
  <c r="J175" i="19"/>
  <c r="P140" i="19"/>
  <c r="M140" i="19"/>
  <c r="J140" i="19"/>
  <c r="P137" i="19"/>
  <c r="M137" i="19"/>
  <c r="J137" i="19"/>
  <c r="P134" i="19"/>
  <c r="M134" i="19"/>
  <c r="J134" i="19"/>
  <c r="P113" i="19"/>
  <c r="M113" i="19"/>
  <c r="J113" i="19"/>
  <c r="P76" i="19"/>
  <c r="J76" i="19"/>
  <c r="J60" i="19"/>
  <c r="P246" i="19"/>
  <c r="M60" i="19"/>
  <c r="M176" i="19" l="1"/>
  <c r="J176" i="19"/>
  <c r="P257" i="19"/>
  <c r="J226" i="19"/>
  <c r="J257" i="19"/>
  <c r="M257" i="19"/>
  <c r="P245" i="19"/>
  <c r="P237" i="19"/>
  <c r="J237" i="19"/>
  <c r="P226" i="19"/>
  <c r="P60" i="19"/>
  <c r="P176" i="19" s="1"/>
  <c r="M237" i="19"/>
  <c r="M226" i="19"/>
  <c r="J246" i="19"/>
  <c r="J245" i="19" s="1"/>
  <c r="M246" i="19"/>
  <c r="M245" i="19" s="1"/>
  <c r="M244" i="19" s="1"/>
  <c r="J253" i="19"/>
  <c r="M262" i="19" l="1"/>
  <c r="J238" i="19"/>
  <c r="J239" i="19" s="1"/>
  <c r="P256" i="19" s="1"/>
  <c r="P238" i="19"/>
  <c r="P239" i="19" s="1"/>
  <c r="M238" i="19"/>
  <c r="M239" i="19" s="1"/>
  <c r="P253" i="19"/>
  <c r="J244" i="19"/>
  <c r="J262" i="19" s="1"/>
  <c r="T164" i="10"/>
  <c r="T162" i="10" l="1"/>
  <c r="T167" i="10" s="1"/>
  <c r="J183" i="10"/>
  <c r="P255" i="19"/>
  <c r="P254" i="19"/>
  <c r="J25" i="10"/>
  <c r="P244" i="19" l="1"/>
  <c r="P262" i="19" s="1"/>
  <c r="J90" i="10"/>
  <c r="H231" i="18" l="1"/>
  <c r="J44" i="10"/>
  <c r="J270" i="10" l="1"/>
  <c r="J199" i="10"/>
  <c r="H232" i="18" l="1"/>
  <c r="M212" i="10" l="1"/>
  <c r="J198" i="18" l="1"/>
  <c r="K212" i="10"/>
  <c r="J17" i="18" l="1"/>
  <c r="J248" i="18" l="1"/>
  <c r="I248" i="18"/>
  <c r="H248" i="18"/>
  <c r="I227" i="18" l="1"/>
  <c r="J227" i="18"/>
  <c r="I217" i="18"/>
  <c r="J217" i="18"/>
  <c r="K231" i="10"/>
  <c r="I195" i="18"/>
  <c r="I196" i="18" s="1"/>
  <c r="J195" i="18"/>
  <c r="J196" i="18" s="1"/>
  <c r="H195" i="18"/>
  <c r="H196" i="18" s="1"/>
  <c r="I177" i="18"/>
  <c r="H177" i="18"/>
  <c r="I173" i="18"/>
  <c r="J173" i="18"/>
  <c r="H228" i="18" l="1"/>
  <c r="I228" i="18"/>
  <c r="J228" i="18"/>
  <c r="I135" i="18"/>
  <c r="J135" i="18"/>
  <c r="H135" i="18"/>
  <c r="I114" i="18"/>
  <c r="J114" i="18"/>
  <c r="H114" i="18"/>
  <c r="H77" i="18"/>
  <c r="I77" i="18"/>
  <c r="J77" i="18"/>
  <c r="H62" i="18"/>
  <c r="I62" i="18"/>
  <c r="J62" i="18"/>
  <c r="J263" i="18" l="1"/>
  <c r="I263" i="18"/>
  <c r="H263" i="18"/>
  <c r="J262" i="18"/>
  <c r="I262" i="18"/>
  <c r="H262" i="18"/>
  <c r="J261" i="18"/>
  <c r="I261" i="18"/>
  <c r="H261" i="18"/>
  <c r="J260" i="18"/>
  <c r="I260" i="18"/>
  <c r="H260" i="18"/>
  <c r="I258" i="18"/>
  <c r="H258" i="18"/>
  <c r="I257" i="18"/>
  <c r="H257" i="18"/>
  <c r="I256" i="18"/>
  <c r="H256" i="18"/>
  <c r="I255" i="18"/>
  <c r="H255" i="18"/>
  <c r="J254" i="18"/>
  <c r="I254" i="18"/>
  <c r="H254" i="18"/>
  <c r="J253" i="18"/>
  <c r="I253" i="18"/>
  <c r="H253" i="18"/>
  <c r="J252" i="18"/>
  <c r="I252" i="18"/>
  <c r="H252" i="18"/>
  <c r="J251" i="18"/>
  <c r="I251" i="18"/>
  <c r="H251" i="18"/>
  <c r="J250" i="18"/>
  <c r="I250" i="18"/>
  <c r="H250" i="18"/>
  <c r="H249" i="18"/>
  <c r="J238" i="18"/>
  <c r="I238" i="18"/>
  <c r="H238" i="18"/>
  <c r="J235" i="18"/>
  <c r="I235" i="18"/>
  <c r="H235" i="18"/>
  <c r="J232" i="18"/>
  <c r="I232" i="18"/>
  <c r="J141" i="18"/>
  <c r="I141" i="18"/>
  <c r="H141" i="18"/>
  <c r="J138" i="18"/>
  <c r="I138" i="18"/>
  <c r="H138" i="18"/>
  <c r="H239" i="18" l="1"/>
  <c r="J178" i="18"/>
  <c r="H178" i="18"/>
  <c r="I178" i="18"/>
  <c r="H259" i="18"/>
  <c r="I259" i="18"/>
  <c r="J259" i="18"/>
  <c r="I249" i="18"/>
  <c r="I247" i="18" s="1"/>
  <c r="I246" i="18" s="1"/>
  <c r="I239" i="18"/>
  <c r="J239" i="18"/>
  <c r="J249" i="18"/>
  <c r="J247" i="18" s="1"/>
  <c r="H247" i="18"/>
  <c r="H246" i="18" s="1"/>
  <c r="I264" i="18" l="1"/>
  <c r="H240" i="18"/>
  <c r="H264" i="18"/>
  <c r="I240" i="18"/>
  <c r="I241" i="18" s="1"/>
  <c r="J240" i="18"/>
  <c r="J241" i="18" s="1"/>
  <c r="J60" i="10" l="1"/>
  <c r="J110" i="10"/>
  <c r="J93" i="10"/>
  <c r="J143" i="10" l="1"/>
  <c r="K143" i="10"/>
  <c r="J208" i="10"/>
  <c r="J231" i="10"/>
  <c r="J242" i="10" s="1"/>
  <c r="J250" i="10"/>
  <c r="J247" i="10"/>
  <c r="J75" i="10" l="1"/>
  <c r="J116" i="10" s="1"/>
  <c r="K72" i="10" l="1"/>
  <c r="M72" i="10"/>
  <c r="J269" i="10"/>
  <c r="J277" i="10"/>
  <c r="J267" i="10"/>
  <c r="M269" i="10" l="1"/>
  <c r="K269" i="10"/>
  <c r="M60" i="10"/>
  <c r="M140" i="10"/>
  <c r="K208" i="10"/>
  <c r="M208" i="10"/>
  <c r="K247" i="10"/>
  <c r="M247" i="10"/>
  <c r="J263" i="10" l="1"/>
  <c r="J72" i="10"/>
  <c r="K60" i="10"/>
  <c r="K133" i="10"/>
  <c r="K140" i="10" s="1"/>
  <c r="J253" i="10" l="1"/>
  <c r="J264" i="10" l="1"/>
  <c r="K253" i="10"/>
  <c r="J254" i="10"/>
  <c r="K250" i="10"/>
  <c r="J278" i="10"/>
  <c r="K254" i="10" l="1"/>
  <c r="J273" i="10" l="1"/>
  <c r="J272" i="10"/>
  <c r="J271" i="10"/>
  <c r="J268" i="10"/>
  <c r="J266" i="10"/>
  <c r="J276" i="10"/>
  <c r="K191" i="10" l="1"/>
  <c r="M191" i="10"/>
  <c r="J191" i="10"/>
  <c r="M253" i="10" l="1"/>
  <c r="K278" i="10" l="1"/>
  <c r="K277" i="10"/>
  <c r="K275" i="10"/>
  <c r="K273" i="10"/>
  <c r="K272" i="10"/>
  <c r="K271" i="10"/>
  <c r="M268" i="10"/>
  <c r="K268" i="10"/>
  <c r="K267" i="10"/>
  <c r="K266" i="10"/>
  <c r="K265" i="10"/>
  <c r="K274" i="10" l="1"/>
  <c r="K209" i="10" l="1"/>
  <c r="K146" i="10"/>
  <c r="K116" i="10"/>
  <c r="K192" i="10" s="1"/>
  <c r="K263" i="10" l="1"/>
  <c r="K264" i="10"/>
  <c r="K242" i="10"/>
  <c r="K255" i="10" l="1"/>
  <c r="K256" i="10" s="1"/>
  <c r="K262" i="10"/>
  <c r="K261" i="10" s="1"/>
  <c r="K279" i="10" s="1"/>
  <c r="M146" i="10" l="1"/>
  <c r="J146" i="10"/>
  <c r="J192" i="10" s="1"/>
  <c r="M231" i="10" l="1"/>
  <c r="M114" i="10" l="1"/>
  <c r="M111" i="10"/>
  <c r="M116" i="10" s="1"/>
  <c r="M263" i="10" l="1"/>
  <c r="M277" i="10"/>
  <c r="M275" i="10"/>
  <c r="J275" i="10"/>
  <c r="J274" i="10" s="1"/>
  <c r="M267" i="10"/>
  <c r="M266" i="10"/>
  <c r="M264" i="10"/>
  <c r="M242" i="10" l="1"/>
  <c r="M143" i="10" l="1"/>
  <c r="M192" i="10" s="1"/>
  <c r="J209" i="10"/>
  <c r="M250" i="10"/>
  <c r="M254" i="10" s="1"/>
  <c r="J265" i="10"/>
  <c r="M265" i="10"/>
  <c r="M262" i="10" s="1"/>
  <c r="M278" i="10"/>
  <c r="M274" i="10" s="1"/>
  <c r="J262" i="10" l="1"/>
  <c r="J261" i="10" s="1"/>
  <c r="J255" i="10"/>
  <c r="M209" i="10"/>
  <c r="M255" i="10" l="1"/>
  <c r="J256" i="10" l="1"/>
  <c r="M256" i="10"/>
  <c r="M273" i="10" l="1"/>
  <c r="M272" i="10"/>
  <c r="M271" i="10"/>
  <c r="J279" i="10"/>
  <c r="M261" i="10" l="1"/>
  <c r="M279" i="10" s="1"/>
  <c r="J255" i="18" l="1"/>
  <c r="H241" i="18" l="1"/>
  <c r="J256" i="18" s="1"/>
  <c r="J258" i="18"/>
  <c r="J257" i="18" l="1"/>
  <c r="J246" i="18" s="1"/>
  <c r="J264" i="18" s="1"/>
</calcChain>
</file>

<file path=xl/comments1.xml><?xml version="1.0" encoding="utf-8"?>
<comments xmlns="http://schemas.openxmlformats.org/spreadsheetml/2006/main">
  <authors>
    <author>Audra Cepiene</author>
  </authors>
  <commentList>
    <comment ref="E17"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E21"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39" authorId="0" shapeId="0">
      <text>
        <r>
          <rPr>
            <sz val="9"/>
            <color indexed="81"/>
            <rFont val="Tahoma"/>
            <family val="2"/>
            <charset val="186"/>
          </rPr>
          <t>Iš viso mieste yra 1,5 tūkst. vnt. šiukšliadėžių</t>
        </r>
      </text>
    </comment>
    <comment ref="K40" authorId="0" shapeId="0">
      <text>
        <r>
          <rPr>
            <sz val="9"/>
            <color indexed="81"/>
            <rFont val="Tahoma"/>
            <family val="2"/>
            <charset val="186"/>
          </rPr>
          <t>Iš viso mieste yra 1,1 tūkst. vnt. suoliuk</t>
        </r>
      </text>
    </comment>
    <comment ref="E4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D56"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E5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8"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8" authorId="0" shapeId="0">
      <text>
        <r>
          <rPr>
            <sz val="9"/>
            <color indexed="81"/>
            <rFont val="Tahoma"/>
            <family val="2"/>
            <charset val="186"/>
          </rPr>
          <t>Visuomenininkai</t>
        </r>
      </text>
    </comment>
    <comment ref="E6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82"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97"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5"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D129" authorId="0" shapeId="0">
      <text>
        <r>
          <rPr>
            <sz val="9"/>
            <color indexed="81"/>
            <rFont val="Tahoma"/>
            <family val="2"/>
            <charset val="186"/>
          </rPr>
          <t xml:space="preserve">Apšvietimo projektas Smiltynės pagrindiniame take rengiamas kartu su Smiltynės atraminės sienutės  projektu.     </t>
        </r>
      </text>
    </comment>
    <comment ref="E149"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2"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E156" authorId="0" shapeId="0">
      <text>
        <r>
          <rPr>
            <sz val="9"/>
            <color indexed="81"/>
            <rFont val="Tahoma"/>
            <family val="2"/>
            <charset val="186"/>
          </rPr>
          <t xml:space="preserve">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P6, Klaipėdos miesto ekonominės plėtros strategija ir įgyvendinimo veiksmų planas iki 2030 metų, 3.1.5. "Intencyvinti linijinį centrą Taikos pr. ašyje" </t>
        </r>
      </text>
    </comment>
    <comment ref="E160"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E16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9"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75"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L194" authorId="0" shapeId="0">
      <text>
        <r>
          <rPr>
            <sz val="9"/>
            <color indexed="81"/>
            <rFont val="Tahoma"/>
            <family val="2"/>
            <charset val="186"/>
          </rPr>
          <t>techninio projekto parengimas</t>
        </r>
        <r>
          <rPr>
            <sz val="9"/>
            <color indexed="81"/>
            <rFont val="Tahoma"/>
            <family val="2"/>
            <charset val="186"/>
          </rPr>
          <t xml:space="preserve">
</t>
        </r>
      </text>
    </comment>
    <comment ref="D200"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H247" authorId="0" shapeId="0">
      <text>
        <r>
          <rPr>
            <b/>
            <sz val="9"/>
            <color indexed="81"/>
            <rFont val="Tahoma"/>
            <family val="2"/>
            <charset val="186"/>
          </rPr>
          <t>biudžetas 9101,6</t>
        </r>
        <r>
          <rPr>
            <sz val="9"/>
            <color indexed="81"/>
            <rFont val="Tahoma"/>
            <family val="2"/>
            <charset val="186"/>
          </rPr>
          <t xml:space="preserve">
</t>
        </r>
      </text>
    </comment>
    <comment ref="H255" authorId="0" shapeId="0">
      <text>
        <r>
          <rPr>
            <b/>
            <sz val="9"/>
            <color indexed="81"/>
            <rFont val="Tahoma"/>
            <family val="2"/>
            <charset val="186"/>
          </rPr>
          <t xml:space="preserve">2801,2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E19"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37" authorId="0" shapeId="0">
      <text>
        <r>
          <rPr>
            <sz val="9"/>
            <color indexed="81"/>
            <rFont val="Tahoma"/>
            <family val="2"/>
            <charset val="186"/>
          </rPr>
          <t>Iš viso mieste yra 1,5 tūkst. vnt. šiukšliadėžių</t>
        </r>
      </text>
    </comment>
    <comment ref="Q38" authorId="0" shapeId="0">
      <text>
        <r>
          <rPr>
            <sz val="9"/>
            <color indexed="81"/>
            <rFont val="Tahoma"/>
            <family val="2"/>
            <charset val="186"/>
          </rPr>
          <t>Iš viso mieste yra 1,1 tūkst. vnt. suoliuk</t>
        </r>
      </text>
    </comment>
    <comment ref="E44"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8"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D54"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E5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81"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96"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6"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4"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R124" authorId="1" shapeId="0">
      <text>
        <r>
          <rPr>
            <sz val="9"/>
            <color indexed="81"/>
            <rFont val="Tahoma"/>
            <family val="2"/>
            <charset val="186"/>
          </rPr>
          <t>pravažiavimo nuo J. Janonio g. 5 iki Pievų  Pako g. 37 apšvietimo techninio darbo projekto parengimas ir Karlsronos aikštės apšvietimo techninio darbo projekto parengimas</t>
        </r>
      </text>
    </comment>
    <comment ref="D128" authorId="0" shapeId="0">
      <text>
        <r>
          <rPr>
            <sz val="9"/>
            <color indexed="81"/>
            <rFont val="Tahoma"/>
            <family val="2"/>
            <charset val="186"/>
          </rPr>
          <t xml:space="preserve">Apšvietimo projektas Smiltynės pagrindiniame take rengiamas kartu su Smiltynės atraminės sienutės  projektu.     </t>
        </r>
      </text>
    </comment>
    <comment ref="E148"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1"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E154" authorId="0" shapeId="0">
      <text>
        <r>
          <rPr>
            <sz val="9"/>
            <color indexed="81"/>
            <rFont val="Tahoma"/>
            <family val="2"/>
            <charset val="186"/>
          </rPr>
          <t xml:space="preserve">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P6, Klaipėdos miesto ekonominės plėtros strategija ir įgyvendinimo veiksmų planas iki 2030 metų, 3.1.5. "Intencyvinti linijinį centrą Taikos pr. ašyje" </t>
        </r>
      </text>
    </comment>
    <comment ref="E157"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E16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6"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73"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R192" authorId="0" shapeId="0">
      <text>
        <r>
          <rPr>
            <sz val="9"/>
            <color indexed="81"/>
            <rFont val="Tahoma"/>
            <family val="2"/>
            <charset val="186"/>
          </rPr>
          <t>techninio projekto parengimas</t>
        </r>
        <r>
          <rPr>
            <sz val="9"/>
            <color indexed="81"/>
            <rFont val="Tahoma"/>
            <family val="2"/>
            <charset val="186"/>
          </rPr>
          <t xml:space="preserve">
</t>
        </r>
      </text>
    </comment>
    <comment ref="D198"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R201" authorId="1" shapeId="0">
      <text>
        <r>
          <rPr>
            <b/>
            <sz val="9"/>
            <color indexed="81"/>
            <rFont val="Tahoma"/>
            <family val="2"/>
            <charset val="186"/>
          </rPr>
          <t>Saulina Paulauskiene:</t>
        </r>
        <r>
          <rPr>
            <sz val="9"/>
            <color indexed="81"/>
            <rFont val="Tahoma"/>
            <family val="2"/>
            <charset val="186"/>
          </rPr>
          <t xml:space="preserve">
2019 m. planuojama įrengti ir atnaujinti  726 vietas:
- Liubeko g. nuo 7 iki 9 – 108 vietos;
- Vingio g. 1, Šilutės pl. 82-88- 187 vietos;
- Taikos pr. 21, Taikos pr. 55-57- 115 vietų;
- Liepų g. 40-46A – 50 vietų;
- Dzūkų g. 6 – 26 vietos;
- Panevėžio g. 5-19 – 240 vietų.
</t>
        </r>
      </text>
    </comment>
    <comment ref="I253" authorId="0" shapeId="0">
      <text>
        <r>
          <rPr>
            <b/>
            <sz val="9"/>
            <color indexed="81"/>
            <rFont val="Tahoma"/>
            <family val="2"/>
            <charset val="186"/>
          </rPr>
          <t>2801,2</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4"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F18"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N18" authorId="0" shapeId="0">
      <text>
        <r>
          <rPr>
            <sz val="9"/>
            <color indexed="81"/>
            <rFont val="Tahoma"/>
            <family val="2"/>
            <charset val="186"/>
          </rPr>
          <t xml:space="preserve">Eksploatuojami 4 fontanai: "Taravos Anikė"; "Laivelis" Meridiano skvere; Debreceno aikštės fontanas; Pempininkų aikštės fontanas
</t>
        </r>
      </text>
    </comment>
    <comment ref="J22" authorId="0" shapeId="0">
      <text>
        <r>
          <rPr>
            <sz val="9"/>
            <color indexed="81"/>
            <rFont val="Tahoma"/>
            <family val="2"/>
            <charset val="186"/>
          </rPr>
          <t>iš viso projekto kaina 53,8 tūkst. eur , iš jų 3,6 tūkst. eur projektas (43,1-3,6) 39,5 tūkst. eur persikelia</t>
        </r>
      </text>
    </comment>
    <comment ref="O22" authorId="0" shapeId="0">
      <text>
        <r>
          <rPr>
            <sz val="9"/>
            <color indexed="81"/>
            <rFont val="Tahoma"/>
            <family val="2"/>
            <charset val="186"/>
          </rPr>
          <t>iš viso projekto kaina 53,8 tūkst. eur , iš jų 3,6 tūkst. eur projektas</t>
        </r>
      </text>
    </comment>
    <comment ref="N36" authorId="0" shapeId="0">
      <text>
        <r>
          <rPr>
            <sz val="9"/>
            <color indexed="81"/>
            <rFont val="Tahoma"/>
            <family val="2"/>
            <charset val="186"/>
          </rPr>
          <t>Iš viso mieste yra 1,5 tūkst. vnt. šiukšliadėžių</t>
        </r>
      </text>
    </comment>
    <comment ref="N37" authorId="0" shapeId="0">
      <text>
        <r>
          <rPr>
            <sz val="9"/>
            <color indexed="81"/>
            <rFont val="Tahoma"/>
            <family val="2"/>
            <charset val="186"/>
          </rPr>
          <t>Iš viso mieste yra 1,1 tūkst. vnt. suoliuk</t>
        </r>
      </text>
    </comment>
    <comment ref="F43"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48"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N50" authorId="0" shapeId="0">
      <text>
        <r>
          <rPr>
            <sz val="9"/>
            <color indexed="81"/>
            <rFont val="Tahoma"/>
            <family val="2"/>
            <charset val="186"/>
          </rPr>
          <t xml:space="preserve">Parengtas techninis projektas. Paveldosaugos skyrius 
</t>
        </r>
      </text>
    </comment>
    <comment ref="E54"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F5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I56" authorId="0" shapeId="0">
      <text>
        <r>
          <rPr>
            <sz val="9"/>
            <color indexed="81"/>
            <rFont val="Tahoma"/>
            <family val="2"/>
            <charset val="186"/>
          </rPr>
          <t>Visuomenininkai</t>
        </r>
      </text>
    </comment>
    <comment ref="E58" authorId="0" shapeId="0">
      <text>
        <r>
          <rPr>
            <sz val="9"/>
            <color indexed="81"/>
            <rFont val="Tahoma"/>
            <family val="2"/>
            <charset val="186"/>
          </rPr>
          <t xml:space="preserve">Techninis projektas yra parengtas. Rengėjas Paveldosaugos skyrius
</t>
        </r>
      </text>
    </comment>
    <comment ref="F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8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N87" authorId="0" shapeId="0">
      <text>
        <r>
          <rPr>
            <sz val="9"/>
            <color indexed="81"/>
            <rFont val="Tahoma"/>
            <family val="2"/>
            <charset val="186"/>
          </rPr>
          <t>projektas parengtas, darbų pradžia planauojama 2022 metais</t>
        </r>
      </text>
    </comment>
    <comment ref="N88" authorId="0" shapeId="0">
      <text>
        <r>
          <rPr>
            <sz val="9"/>
            <color indexed="81"/>
            <rFont val="Tahoma"/>
            <family val="2"/>
            <charset val="186"/>
          </rPr>
          <t>projektas parengtas, darbų pradžia planauojama 2022 metais</t>
        </r>
      </text>
    </comment>
    <comment ref="J90" authorId="0" shapeId="0">
      <text>
        <r>
          <rPr>
            <b/>
            <sz val="9"/>
            <color indexed="81"/>
            <rFont val="Tahoma"/>
            <family val="2"/>
            <charset val="186"/>
          </rPr>
          <t>projektų užbaigimui už atramines sienutes</t>
        </r>
        <r>
          <rPr>
            <sz val="9"/>
            <color indexed="81"/>
            <rFont val="Tahoma"/>
            <family val="2"/>
            <charset val="186"/>
          </rPr>
          <t xml:space="preserve">
</t>
        </r>
      </text>
    </comment>
    <comment ref="E93"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9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N110" authorId="0" shapeId="0">
      <text>
        <r>
          <rPr>
            <sz val="9"/>
            <color indexed="81"/>
            <rFont val="Tahoma"/>
            <family val="2"/>
            <charset val="186"/>
          </rPr>
          <t>Viešieji tualetai: Stovyklų g. 4 –21,79 m2; Kopų g. 1A (I Melnragė) – 87,25 m2;</t>
        </r>
      </text>
    </comment>
    <comment ref="N113" authorId="0" shapeId="0">
      <text>
        <r>
          <rPr>
            <sz val="9"/>
            <color indexed="81"/>
            <rFont val="Tahoma"/>
            <family val="2"/>
            <charset val="186"/>
          </rPr>
          <t>pradėtas rengti viešųjų pirkimų konkursas, darbus planuojama atlikti 2018 m.</t>
        </r>
      </text>
    </comment>
    <comment ref="F11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O127" authorId="0" shapeId="0">
      <text>
        <r>
          <rPr>
            <sz val="9"/>
            <color indexed="81"/>
            <rFont val="Tahoma"/>
            <family val="2"/>
            <charset val="186"/>
          </rPr>
          <t xml:space="preserve">2018 m. likutis dėl neįvykdymo - parengti techniniai projektai Šiltnamių g., Ukmergės g., Pievų Tako g. vnt.
Oto g.; take nuo Kretingos g. iki Geležinkelio g. 2A; praėjime nuo Taikos pr. 8 iki Sausio 15-osios 2A ; Daukanto g. 13a ir Pievų Tako g. 8, </t>
        </r>
        <r>
          <rPr>
            <b/>
            <sz val="9"/>
            <color indexed="81"/>
            <rFont val="Tahoma"/>
            <family val="2"/>
            <charset val="186"/>
          </rPr>
          <t xml:space="preserve">papildomi darbai: </t>
        </r>
        <r>
          <rPr>
            <sz val="9"/>
            <color indexed="81"/>
            <rFont val="Tahoma"/>
            <family val="2"/>
            <charset val="186"/>
          </rPr>
          <t>pravažiavimo nuo J. Janonio g. 5 iki Pievų  Pako g. 37 apšvietimo techninio darbo projekto parengimas ir Karlsronos aikštės apšvietimo techninio darbo projekto parengimas</t>
        </r>
      </text>
    </comment>
    <comment ref="P133" authorId="0" shapeId="0">
      <text>
        <r>
          <rPr>
            <sz val="9"/>
            <color indexed="81"/>
            <rFont val="Tahoma"/>
            <family val="2"/>
            <charset val="186"/>
          </rPr>
          <t xml:space="preserve">Oro linijų keitimas į kabelines Kretingos g., Reikjaviko g. 13 </t>
        </r>
      </text>
    </comment>
    <comment ref="E134" authorId="0" shapeId="0">
      <text>
        <r>
          <rPr>
            <sz val="9"/>
            <color indexed="81"/>
            <rFont val="Tahoma"/>
            <family val="2"/>
            <charset val="186"/>
          </rPr>
          <t xml:space="preserve">Apšvietimo projektas Smiltynės pagrindiniame take rengiamas kartu su Smiltynės atraminės sienutės  projektu.     </t>
        </r>
      </text>
    </comment>
    <comment ref="N141" authorId="0" shapeId="0">
      <text>
        <r>
          <rPr>
            <b/>
            <sz val="9"/>
            <color indexed="81"/>
            <rFont val="Tahoma"/>
            <family val="2"/>
            <charset val="186"/>
          </rPr>
          <t xml:space="preserve">87 kamerų priežiūra </t>
        </r>
        <r>
          <rPr>
            <sz val="9"/>
            <color indexed="81"/>
            <rFont val="Tahoma"/>
            <family val="2"/>
            <charset val="186"/>
          </rPr>
          <t xml:space="preserve">(58 esamos+8(Poilsio parkas)+7(Sąjūdžio parkas)+12(Gedminų alėja)+2(Minijos-Baltijos sankryža), 
</t>
        </r>
        <r>
          <rPr>
            <b/>
            <sz val="9"/>
            <color indexed="81"/>
            <rFont val="Tahoma"/>
            <family val="2"/>
            <charset val="186"/>
          </rPr>
          <t>60 kamerų priežiūra</t>
        </r>
        <r>
          <rPr>
            <sz val="9"/>
            <color indexed="81"/>
            <rFont val="Tahoma"/>
            <family val="2"/>
            <charset val="186"/>
          </rPr>
          <t xml:space="preserve"> (45 naujų kamerų, 7 naujos policijai pagal prašymą, 8 (Klaipėdos piliavietė ir Vasaros estradoje)
</t>
        </r>
        <r>
          <rPr>
            <b/>
            <sz val="9"/>
            <color indexed="81"/>
            <rFont val="Tahoma"/>
            <family val="2"/>
            <charset val="186"/>
          </rPr>
          <t xml:space="preserve">4 slaptos </t>
        </r>
        <r>
          <rPr>
            <sz val="9"/>
            <color indexed="81"/>
            <rFont val="Tahoma"/>
            <family val="2"/>
            <charset val="186"/>
          </rPr>
          <t xml:space="preserve">kameros
Stebėjimo kamerų tinklo diegimas autobusų ir geležinkelių stotyse bei intermodaliniuose centruose </t>
        </r>
        <r>
          <rPr>
            <b/>
            <sz val="9"/>
            <color indexed="81"/>
            <rFont val="Tahoma"/>
            <family val="2"/>
            <charset val="186"/>
          </rPr>
          <t xml:space="preserve">(Darnaus judumo planas)
</t>
        </r>
      </text>
    </comment>
    <comment ref="F149"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N149" authorId="0" shapeId="0">
      <text>
        <r>
          <rPr>
            <sz val="9"/>
            <color indexed="81"/>
            <rFont val="Tahoma"/>
            <family val="2"/>
            <charset val="186"/>
          </rPr>
          <t xml:space="preserve">2019 m. vyksta projekto ekspertizė, projekto sąmatos korekcija, rangos darbų pirkimas ir archeologiniai tyrinėjimai 
</t>
        </r>
      </text>
    </comment>
    <comment ref="F154"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5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r>
          <rPr>
            <b/>
            <sz val="9"/>
            <color indexed="81"/>
            <rFont val="Tahoma"/>
            <family val="2"/>
            <charset val="186"/>
          </rPr>
          <t xml:space="preserve">P6, Klaipėdos miesto ekonominės plėtros strategija ir įgyvendinimo veiksmų planas iki 2030 metų, 3.1.5. </t>
        </r>
        <r>
          <rPr>
            <sz val="9"/>
            <color indexed="81"/>
            <rFont val="Tahoma"/>
            <family val="2"/>
            <charset val="186"/>
          </rPr>
          <t xml:space="preserve">"Intencyvinti linijinį centrą Taikos pr. ašyje" </t>
        </r>
      </text>
    </comment>
    <comment ref="F164"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F16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P174" authorId="0" shapeId="0">
      <text>
        <r>
          <rPr>
            <b/>
            <sz val="9"/>
            <color indexed="81"/>
            <rFont val="Tahoma"/>
            <family val="2"/>
            <charset val="186"/>
          </rPr>
          <t>2019 m.</t>
        </r>
        <r>
          <rPr>
            <sz val="9"/>
            <color indexed="81"/>
            <rFont val="Tahoma"/>
            <family val="2"/>
            <charset val="186"/>
          </rPr>
          <t xml:space="preserve">
(plotas 64668 m2 + padidintas 78735 m2=143403 m2) . Papildomas poreikis SB lėšų +965,6 tūkst. Eur, VB+195,6, ES+2216,9 tūkst. Eur.</t>
        </r>
      </text>
    </comment>
    <comment ref="F17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86" authorId="0" shapeId="0">
      <text>
        <r>
          <rPr>
            <sz val="9"/>
            <color indexed="81"/>
            <rFont val="Tahoma"/>
            <family val="2"/>
            <charset val="186"/>
          </rPr>
          <t>SPG STR3-12 Žemėtvarkos skyrius suformuoja sklypus, Turto skyrius registruoja, Mūd atlieka darbus.</t>
        </r>
      </text>
    </comment>
    <comment ref="F186"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89" authorId="0" shapeId="0">
      <text>
        <r>
          <rPr>
            <sz val="9"/>
            <color indexed="81"/>
            <rFont val="Tahoma"/>
            <family val="2"/>
            <charset val="186"/>
          </rPr>
          <t>Siūloma nauja priemonė iš Miesto plėtros ir strateginio planavimo komiteto. Protokolas 2018-06-20 Nr. TAR-56</t>
        </r>
      </text>
    </comment>
    <comment ref="E212"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O216" authorId="0" shapeId="0">
      <text>
        <r>
          <rPr>
            <sz val="9"/>
            <color indexed="81"/>
            <rFont val="Tahoma"/>
            <family val="2"/>
            <charset val="186"/>
          </rPr>
          <t xml:space="preserve">neįvykdyti darbai 2018 m. -182 vnt., 2019 m. -390 vnt.
</t>
        </r>
      </text>
    </comment>
    <comment ref="O224" authorId="0" shapeId="0">
      <text>
        <r>
          <rPr>
            <sz val="9"/>
            <color indexed="81"/>
            <rFont val="Tahoma"/>
            <family val="2"/>
            <charset val="186"/>
          </rPr>
          <t>Poilsio parke esančios vaikų žaidimo aikštelės remonto aprašo parengimą 2019 m. bei atnaujinimą 2020 m., kadangi vaikų žaidimo įranga yra pasenusi ir netinkama remontuoti, bei neatitinka Lietuvos higienos normos HN 131:2015 reikalavimų. Šiuo metu yra demontuota pusė kompleksinio vaikų žaidimo įrenginio, kuris kėlė grėsmę vaikų saugumui.  Pažymėtina tai, kad vaikų žaidimo aikštelė yra Poilsio parko teritorijoje, kuri yra labai lankoma šeimų, todėl tikslinga įrengti labai kokybiškus ir turinčius ilgą garantiją įrenginius</t>
        </r>
      </text>
    </comment>
    <comment ref="N230" authorId="0" shapeId="0">
      <text>
        <r>
          <rPr>
            <sz val="9"/>
            <color indexed="81"/>
            <rFont val="Tahoma"/>
            <family val="2"/>
            <charset val="186"/>
          </rPr>
          <t xml:space="preserve">Siekiama įrengti meninio objekto žaidimo aikštelę senamiesčio erdvėje 
Reikalingas idėjų konkursas </t>
        </r>
      </text>
    </comment>
    <comment ref="O244" authorId="0" shapeId="0">
      <text>
        <r>
          <rPr>
            <sz val="9"/>
            <color indexed="81"/>
            <rFont val="Tahoma"/>
            <family val="2"/>
            <charset val="186"/>
          </rPr>
          <t xml:space="preserve">2019 m. planuojama rekonstruoti lietaus nuotekų tinklus Kauno g. 31, 33, 35, Malūnininkų g. 1 ir Taikos pr. 4A–5 paviršinių nuotekų kolektorius.
2019 m. planuotų darbų Kauno g. 31-35 nepavyks įvykdyti, kadangi techninis projektas bus parengtas tik metų pabaigoje, todėl darbai nusikelia į 2020 m. Be to, buvo nutrauktas ir bus kartojamas viešasis pirkimas dėl kolektoriaus ir paviršinių nuotekų tinklų KLASCO teritorijoje rekonstravimo (tikslinama techninė specifikacija, iškilo klausimų dėl aplink šią teritoriją vykstančių projektų). </t>
        </r>
      </text>
    </comment>
    <comment ref="E248"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E251" authorId="0" shapeId="0">
      <text>
        <r>
          <rPr>
            <sz val="9"/>
            <color indexed="81"/>
            <rFont val="Tahoma"/>
            <family val="2"/>
            <charset val="186"/>
          </rPr>
          <t>2017 m.  ties vieta (Baltijos pr. 109) statybos darbų atlikimo eigoje papildomai buvo nuspręsta remontuoti esamą pėsčiųjų taką, kad būtų sklandesnis sujungimas su esamais prie daugiabučių namų takais.</t>
        </r>
        <r>
          <rPr>
            <b/>
            <sz val="9"/>
            <color indexed="81"/>
            <rFont val="Tahoma"/>
            <family val="2"/>
            <charset val="186"/>
          </rPr>
          <t xml:space="preserve"> Šalia įrengiamo tako esama asfaltuota kelio danga nebuvo tvarkoma, taip pat ir lietaus surinkimo sistema</t>
        </r>
        <r>
          <rPr>
            <sz val="9"/>
            <color indexed="81"/>
            <rFont val="Tahoma"/>
            <family val="2"/>
            <charset val="186"/>
          </rPr>
          <t>. Įrengus papildomą pėsčiųjų tako atkarpą, atsirado problema dėl kelio apsėmimo, nes nebenuteka lietaus vanduo. Gautas AB „Klaipėdos vanduo“ prašymas, kad šioje atkarpoje būtina įrengti lietaus nuotekų tinklus (ilgis ~60 m., reikia įrengti laiptuotas surinkimo groteles (2 vnt.) ir gelžbetoninius šulinėlius.</t>
        </r>
      </text>
    </comment>
  </commentList>
</comments>
</file>

<file path=xl/sharedStrings.xml><?xml version="1.0" encoding="utf-8"?>
<sst xmlns="http://schemas.openxmlformats.org/spreadsheetml/2006/main" count="1634" uniqueCount="399">
  <si>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</si>
  <si>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</si>
  <si>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</si>
  <si>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</si>
  <si>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</si>
  <si>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</si>
  <si>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</si>
  <si>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</si>
  <si>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</si>
  <si>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</si>
  <si>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</si>
  <si>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</si>
  <si>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</si>
  <si>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</si>
  <si>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</si>
  <si>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</si>
  <si>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</si>
  <si>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</si>
  <si>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</si>
  <si>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</si>
  <si>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</si>
  <si>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</si>
  <si>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</si>
  <si>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</si>
  <si>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</si>
  <si>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</si>
  <si>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</si>
  <si>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</si>
  <si>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</si>
  <si>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</si>
  <si>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</si>
  <si>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</si>
  <si>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</si>
  <si>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</si>
  <si>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</si>
  <si>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</si>
  <si>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</si>
  <si>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</si>
  <si>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</si>
  <si>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</si>
  <si>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</si>
  <si>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</si>
  <si>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</si>
  <si>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</si>
  <si>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</si>
  <si>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</si>
  <si>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</si>
  <si>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</si>
  <si>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</si>
  <si>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</si>
  <si>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</si>
  <si>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</si>
  <si>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</si>
  <si>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</si>
  <si>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</si>
  <si>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</si>
  <si>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</si>
  <si>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</si>
  <si>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</si>
  <si>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</si>
  <si>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</si>
  <si>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</si>
  <si>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</si>
  <si>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</si>
  <si>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</si>
  <si>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</si>
  <si>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</si>
  <si>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</si>
  <si>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</si>
  <si>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</si>
  <si>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</si>
  <si>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</si>
  <si>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</si>
  <si>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</si>
  <si>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</si>
  <si>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</si>
  <si>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</si>
  <si>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</si>
  <si>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</si>
  <si>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MŪD Kapinių priežiūros skyrius</t>
  </si>
  <si>
    <t xml:space="preserve">MŪD BĮ "Klaipėdos paplūdimiai" </t>
  </si>
  <si>
    <t>Laidojimo paslaugų teikimas ir kapinių priežiūros organizavimas:</t>
  </si>
  <si>
    <t>Įsigyta suoliukų, vnt.</t>
  </si>
  <si>
    <t>Prižiūrima gertuvių Poilsio parke, vnt.</t>
  </si>
  <si>
    <t>Planas</t>
  </si>
  <si>
    <t xml:space="preserve">Palaidota mirusiųjų, skaičius </t>
  </si>
  <si>
    <t>BĮ „Klaipėdos paplūdimiai“ veiklos organizavimas</t>
  </si>
  <si>
    <t>SB(SPL)</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</si>
  <si>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</si>
  <si>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</si>
  <si>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</si>
  <si>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</si>
  <si>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</si>
  <si>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</si>
  <si>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</si>
  <si>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P2.4.2.2</t>
  </si>
  <si>
    <t>P2.4.2.3</t>
  </si>
  <si>
    <t>MŪD  Miesto tvarkymo skyrius</t>
  </si>
  <si>
    <t xml:space="preserve">Daugiabučių gyvenamųjų namų kvartalų priežiūros vykdymas: </t>
  </si>
  <si>
    <t>Gatvių ir viešųjų erdvių apšvietimo organizavimo funkcijos įgyvendinimas</t>
  </si>
  <si>
    <t>Suženklinta automobilių stovėjimo aikštelių (prie kapinių), vnt.</t>
  </si>
  <si>
    <t>Atstatyta vandens kolonėlių Joniškės ir Lėbartų kapinėse, vnt.</t>
  </si>
  <si>
    <t>I, P2.4.2.4</t>
  </si>
  <si>
    <t>tūkst. Eur</t>
  </si>
  <si>
    <t xml:space="preserve">Įsigyta gėlinių, vnt. </t>
  </si>
  <si>
    <t xml:space="preserve">Prižiūrima kapinių  (įskaitant senąsias kapinaites), vnt. </t>
  </si>
  <si>
    <t xml:space="preserve"> TIKSLŲ, UŽDAVINIŲ, PRIEMONIŲ, PRIEMONIŲ IŠLAIDŲ IR PRODUKTO KRITERIJŲ DETALI SUVESTINĖ</t>
  </si>
  <si>
    <r>
      <t>Gėlynų atnaujinimas ir įrengimas</t>
    </r>
    <r>
      <rPr>
        <i/>
        <sz val="10"/>
        <rFont val="Times New Roman"/>
        <family val="1"/>
        <charset val="186"/>
      </rPr>
      <t xml:space="preserve"> </t>
    </r>
  </si>
  <si>
    <t>P2.3.2.5</t>
  </si>
  <si>
    <t>Aiškinamojo rašto priedas Nr.3</t>
  </si>
  <si>
    <t>2019-ieji metai</t>
  </si>
  <si>
    <t>Vingio mikrorajono aikštės atnaujinimas</t>
  </si>
  <si>
    <t>500</t>
  </si>
  <si>
    <t xml:space="preserve">Įsigyta mobilių gelbėjimo stočių, vnt. </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</si>
  <si>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</si>
  <si>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</si>
  <si>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</si>
  <si>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</si>
  <si>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</si>
  <si>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</si>
  <si>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</si>
  <si>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</si>
  <si>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</si>
  <si>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</si>
  <si>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</si>
  <si>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</si>
  <si>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</si>
  <si>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</si>
  <si>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</si>
  <si>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</si>
  <si>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</si>
  <si>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90</t>
  </si>
  <si>
    <t>Aikštės prie Santuokų rūmų atnaujinimas</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</si>
  <si>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</si>
  <si>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</si>
  <si>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</si>
  <si>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</si>
  <si>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</si>
  <si>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</si>
  <si>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Prižiūrima stacionarių tualetų, vnt.</t>
  </si>
  <si>
    <t>Želdinių tvarkymas;</t>
  </si>
  <si>
    <t xml:space="preserve">Daugiabučių namų savininkų bendrijų (DNSB) pirmininkų mokymų organizavimas </t>
  </si>
  <si>
    <t xml:space="preserve">Paimta, sugauta gyvūnų, vnt. </t>
  </si>
  <si>
    <t>Atlikta beglobių kačių sterilizacijų, vnt.</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</si>
  <si>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</si>
  <si>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</si>
  <si>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</si>
  <si>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</si>
  <si>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</si>
  <si>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Įgyvendintas projektas, vnt.</t>
  </si>
  <si>
    <t>Atlikta skvero rekonstravimo darbų. Užbaigtumas, proc.</t>
  </si>
  <si>
    <t>Organizuota mokymų, vnt.</t>
  </si>
  <si>
    <r>
      <t xml:space="preserve">Europos Sąjungos paramos lėšos, kurios įtrauktos į Savivaldybės biudžetą </t>
    </r>
    <r>
      <rPr>
        <b/>
        <sz val="10"/>
        <rFont val="Times New Roman"/>
        <family val="1"/>
        <charset val="186"/>
      </rPr>
      <t>SB(ES)</t>
    </r>
  </si>
  <si>
    <t>Įrengta apšvietimo infrastruktūros kiemuose, tūkst. m.</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</si>
  <si>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</si>
  <si>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</si>
  <si>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</si>
  <si>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</si>
  <si>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</si>
  <si>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</si>
  <si>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</si>
  <si>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</si>
  <si>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2020-ųjų metų lėšų projektas</t>
  </si>
  <si>
    <t>2020-ieji metai</t>
  </si>
  <si>
    <t>Sutvarkyta švietimo įstaigų želdinių, vnt.</t>
  </si>
  <si>
    <t>Viešųjų erdvių (šviesoforų, fontanų, tualetų ir kt.) apšvietimo tinklų ir įrangos eksploatacija</t>
  </si>
  <si>
    <t>10</t>
  </si>
  <si>
    <t xml:space="preserve">MŪD Miesto tvarkymo sk. </t>
  </si>
  <si>
    <r>
      <t xml:space="preserve">Kelių priežiūros ir plėtros programos lėšos </t>
    </r>
    <r>
      <rPr>
        <b/>
        <sz val="10"/>
        <rFont val="Times New Roman"/>
        <family val="1"/>
        <charset val="186"/>
      </rPr>
      <t>SB(KPP)</t>
    </r>
  </si>
  <si>
    <t xml:space="preserve">Eksploatuojama informacinė miesto sistema: </t>
  </si>
  <si>
    <t>Įrengta gatvių pavadinimų lentelių ir gatvių krypties nuorodų, vnt.</t>
  </si>
  <si>
    <t>Įsigyta inventoriaus:</t>
  </si>
  <si>
    <t>Atlikta inventoriaus remonto darbų:</t>
  </si>
  <si>
    <t>Įsigyta kalėdinių papuošimų ir eglė:</t>
  </si>
  <si>
    <t>Atlikta vandens maudyklų tyrimų, sk.</t>
  </si>
  <si>
    <t>Suteikta asistento paslauga neįgaliesiems, vnt.</t>
  </si>
  <si>
    <t xml:space="preserve">Prevencinio projekto „Būk pilietiškas, būk saugus“ įgyvendinimas kartu su Klaipėdos apskrities vyriausiuoju policijos komisariatu </t>
  </si>
  <si>
    <t>Prižiūrima stendų paplūdimiuose, vnt.</t>
  </si>
  <si>
    <t xml:space="preserve">Suremontuota Joniškės kapinių tvora, m </t>
  </si>
  <si>
    <t>Atlikta kapinių skaitmeninimo (inventorizavimas Joniškės, Lėbartų kapinės) sistemos priežiūros darbų. Užbaigtumas, proc.</t>
  </si>
  <si>
    <t>Įrengta vaikų žaidimų aikštelių viešose erdvėse, vnt.</t>
  </si>
  <si>
    <t>Prižiūrima vaikų žaidimų aikštelių viešose erdvėse, vnt.</t>
  </si>
  <si>
    <t>11</t>
  </si>
  <si>
    <t xml:space="preserve">Atlikta daugiabučių namų kiemų sutvarkymo darbų. Užbaigtumas, proc. </t>
  </si>
  <si>
    <t>I. Kanto ir S. Daukanto gatvių sankryžoje esančio skvero sutvarkymas</t>
  </si>
  <si>
    <t>Atliktas pastato, esančio Kopų g. 1 (Melnragė), kapitalinis remontas, proc.</t>
  </si>
  <si>
    <t>Įrengtas konteinerinis tualetas prie moterų paplūdimio I-ojoje Melnragėje, Kopų g. 40, vnt.</t>
  </si>
  <si>
    <t>Demontuota antžeminių dalių ir įrengta konteinerinių tualetų su išgriebimo duobėmis buvusių stacionarių tualetų vietose:</t>
  </si>
  <si>
    <t>LRVB</t>
  </si>
  <si>
    <t>1 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</si>
  <si>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</si>
  <si>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</si>
  <si>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t>Informavimo ir e. paslaugų skyrius</t>
  </si>
  <si>
    <t>II-osios Melnragės gelbėjimo stotyje esančios kavinės nuoma</t>
  </si>
  <si>
    <t xml:space="preserve">Danės upės krantinių rekonstrukcija ir prieigų (Danės skveras su fontanais) sutvarkymas  </t>
  </si>
  <si>
    <t>Rekonstruota, nutiesta lietaus nuotekų tinklų, m</t>
  </si>
  <si>
    <t>Klaipėdos miesto paviršinių nuotekų tinklų įrengimas, remontas ir rekonstrukcija</t>
  </si>
  <si>
    <t>Teritorijos Pempininkų tako gale (ties Debreceno g.18) sutvarkymas</t>
  </si>
  <si>
    <t>Atlikta tako atnaujinimo darbų. Užbaigtumas, proc.</t>
  </si>
  <si>
    <t>Smiltynės g. 14A (prie moterų paplūdimio);</t>
  </si>
  <si>
    <t>Smiltynės g. 33 (Naujoji perkėla);</t>
  </si>
  <si>
    <t>Smiltynės g. 31 (Naujoji perkėla);</t>
  </si>
  <si>
    <t>Smiltynės g. 30 (Naujoji perkėla);</t>
  </si>
  <si>
    <t>Smiltynės g. 14C (kopose už gelbėjimo stoties);</t>
  </si>
  <si>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</si>
  <si>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</si>
  <si>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MŪD Socialinės infrastruktūros skyriaus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</si>
  <si>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</si>
  <si>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</si>
  <si>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Pasirasirašyta sutartis dėl dalyvavimo Mėlynosios vėliavos programoje I-osios Smiltynės ir II-osios Melnragės paplūdimiuose, vnt.</t>
  </si>
  <si>
    <t>Savivaldybei priskirtų valyti ir prižiūrėti teritorijų plotas, kv. km</t>
  </si>
  <si>
    <t>Suorganizuota aplinkosauginių renginių paplūdimiuose, vnt.</t>
  </si>
  <si>
    <t xml:space="preserve">Atlikta aikštės ir jos prieigų (8 284 m²) sutvarkymo darbų. Užbaigtumas, proc.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</si>
  <si>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</si>
  <si>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</si>
  <si>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</si>
  <si>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</si>
  <si>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</si>
  <si>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Tvarkoma gėlynų ploto, tūkst. m²</t>
  </si>
  <si>
    <t>Skirtumas</t>
  </si>
  <si>
    <t>Siūlomas keisti 2020-ųjų metų  lėšų projektas</t>
  </si>
  <si>
    <t>Paaiškinimas</t>
  </si>
  <si>
    <t>Lyginamasis variantas</t>
  </si>
  <si>
    <t xml:space="preserve">Turgaus aikštės su prieigomis sutvarkymas, pritaikant verslo,  bendruomenės poreikiams </t>
  </si>
  <si>
    <t>2021-ųjų metų lėšų projektas</t>
  </si>
  <si>
    <t>2021-ieji metai</t>
  </si>
  <si>
    <r>
      <t xml:space="preserve">I-sios Melnragės </t>
    </r>
    <r>
      <rPr>
        <sz val="10"/>
        <rFont val="Cambria"/>
        <family val="1"/>
        <charset val="186"/>
      </rPr>
      <t>paplūdimyje konteinerinių tualetų įrengimas</t>
    </r>
  </si>
  <si>
    <r>
      <rPr>
        <b/>
        <sz val="10"/>
        <rFont val="Cambria"/>
        <family val="1"/>
        <charset val="186"/>
      </rPr>
      <t>Smiltynės</t>
    </r>
    <r>
      <rPr>
        <sz val="10"/>
        <rFont val="Cambria"/>
        <family val="1"/>
        <charset val="186"/>
      </rPr>
      <t xml:space="preserve"> paplūdimiuose konteinerinių tualetų įrengimas</t>
    </r>
  </si>
  <si>
    <t>100</t>
  </si>
  <si>
    <t>Viešųjų tualetų paslaugų teikimas Melnragės paplūdimyje ir Klaipėdos poilsio parke</t>
  </si>
  <si>
    <t>Įrengta ir atnaujinta automobilių stovėjimo vietų, vnt.</t>
  </si>
  <si>
    <t>2019-ųjų metų asignavimų planas</t>
  </si>
  <si>
    <t>Įsigyta želdinių apsauginių tvorelių, m</t>
  </si>
  <si>
    <t>Autonominių belaidžio (Wi-Fi) ryšio stotelių priežiūra, vnt.</t>
  </si>
  <si>
    <t>Nutiesta lietaus nuotekų tinklų, m</t>
  </si>
  <si>
    <t>60</t>
  </si>
  <si>
    <t>P2.4.1.2.</t>
  </si>
  <si>
    <t xml:space="preserve">Laivų nuleidimo prieplaukos ir saugojimo aikštelės sklype šalia Liepų g. tilto įrengimas </t>
  </si>
  <si>
    <t>Įrengta laivų nuleidimo prieplauka, vnt.</t>
  </si>
  <si>
    <t>Danės vietinės reikšmės vidaus kelio priežiūros organizavimas</t>
  </si>
  <si>
    <t>Klaipėdos miesto Skulptūrų parko (senųjų miesto kapinių) sutvarkymas</t>
  </si>
  <si>
    <t>Atlikta parko sutvarkymo darbų. Užbaigtumas proc.</t>
  </si>
  <si>
    <t>UPD Architektūros ir miesto planavimo sk.</t>
  </si>
  <si>
    <t xml:space="preserve">Parengtas meninių objektų su funkcija, pritaikyta vaikų žaidimams, projektų įgyvendinimo konkursas, vnt. </t>
  </si>
  <si>
    <t xml:space="preserve">Danės upės slėnio teritorijos  pritaikymas visuomenės ir rekreaciniams poreikiams </t>
  </si>
  <si>
    <t>Įrengta gertuvių, vnt</t>
  </si>
  <si>
    <t>30</t>
  </si>
  <si>
    <t>Įsigyta šachmatų figūrų, vnt.</t>
  </si>
  <si>
    <t>Įsigyta šunų ekskrementų šiukšliadėžių, vnt.</t>
  </si>
  <si>
    <t>20</t>
  </si>
  <si>
    <t>Atlikti šlaitų stabilizavimo darbai Šiaurės pr. Užbaigtumas, proc.</t>
  </si>
  <si>
    <t>660</t>
  </si>
  <si>
    <t>Sporto aikštelės (krepšinio/lauko teniso) įrengimas Smiltynės paplūdimyje. Užbaigtumas proc.</t>
  </si>
  <si>
    <t>Įsigyta naro kostiumų, vnt.</t>
  </si>
  <si>
    <t>Įrengta buitinių nuotekų valymo sistema. Užbaigtumas proc.</t>
  </si>
  <si>
    <t>Parengta Danės upės ir krantinių valdymo modelio parinkimo galimybių studija, vnt.</t>
  </si>
  <si>
    <t>Įsigyta gelbėjimo lenta, vnt.</t>
  </si>
  <si>
    <t>Įsigyta radio bangomis valdomas gelbėjimo plaustas, vnt.</t>
  </si>
  <si>
    <t>Įsigyta krovininis keturratis motociklas, vnt.</t>
  </si>
  <si>
    <t>Smiltynėje pagrindiniame take;</t>
  </si>
  <si>
    <t>Praėjime take nuo dviračių tako iki Debreceno g. 52 namo;</t>
  </si>
  <si>
    <t>Aukštosios g. ruože nuo Daržų g. iki Turgaus a.;</t>
  </si>
  <si>
    <t>Take nuo Kretingos g. iki Geležinkelio g. 2A;</t>
  </si>
  <si>
    <t>Praėjime nuo Taikos pr. 8 iki Sausio 15-osios 2A ;</t>
  </si>
  <si>
    <t>Atlikta įrengimo darbų. Užbaigtumas, proc.</t>
  </si>
  <si>
    <t xml:space="preserve">2019 m. </t>
  </si>
  <si>
    <t>Oto g.;</t>
  </si>
  <si>
    <t>Suremontuota takų Joniškės ir Lėbartų kapinėse, tūkst. kv. m</t>
  </si>
  <si>
    <t>Įrengta lietaus nuotekų sistema Joniškės kapinėse. Užbaigtumas, proc.</t>
  </si>
  <si>
    <t>Suremontuotas viešasis tualetas Lėbartų kapinėse. Užbaigtumas, proc.</t>
  </si>
  <si>
    <t>Valdų, kuriose tvarkomi želdiniai, skaičius</t>
  </si>
  <si>
    <t>Techninio darbo projekto koregavimas, vnt.</t>
  </si>
  <si>
    <t>Projekto administravimas, vnt.</t>
  </si>
  <si>
    <t>Pašalinta netinkamų naudoti įrenginių, vnt.</t>
  </si>
  <si>
    <t>Parengta projektų, vnt.</t>
  </si>
  <si>
    <t>Atnaujinta (pagerinta) sporto aikštelių daugiabučių namų kiemuose ar viešosiose miesto erdvėse, vnt.</t>
  </si>
  <si>
    <t>Sudarytas Danės upės vietinės reikšmės vidaus vandenų keliui locmano žemėlapis vnt.</t>
  </si>
  <si>
    <t>Oro linijų keitimas į kabelines Pievų Tako g.;</t>
  </si>
  <si>
    <t>Parengta techninių projektų, vnt.</t>
  </si>
  <si>
    <t>Projekto „Tu esi svarbus“ įgyvendinimas kartu su Klaipėdos apskrities vyriausiuoju policijos komisariatu</t>
  </si>
  <si>
    <t>Inventoriaus įsigijimas</t>
  </si>
  <si>
    <t>Akmenos-Danės upės vidaus vandens kelio valdymas</t>
  </si>
  <si>
    <t>Apšvietimo projektavimas ir įrengimas</t>
  </si>
  <si>
    <t>Daugiabučių namų kiemų infrastruktūros gerinimo priemonių plano įgyvendinimas</t>
  </si>
  <si>
    <t xml:space="preserve">2020-2021 m. </t>
  </si>
  <si>
    <t>SB(VB)</t>
  </si>
  <si>
    <t>SB(ES)</t>
  </si>
  <si>
    <t>IED   Statybos ir infrastruktūros plėtros sk.</t>
  </si>
  <si>
    <t>Šlaitų stabilizavimo darbų Šiaurės prospekte atlikimas</t>
  </si>
  <si>
    <t>Interneto prieigų viešosiose vietose belaidžio ryšio (Wi-Fi) paslaugos teikimas</t>
  </si>
  <si>
    <t xml:space="preserve">Suteikta  belaidžio ryšio (Wi-Fi) paslauga Kruizinių laivų terminale ir Teatro aikštėje, vnt. </t>
  </si>
  <si>
    <t>Retransliuojamo vaizdo stebėjimo kamerų viešose vietose eksploatacija</t>
  </si>
  <si>
    <r>
      <t>Vaikų žaidimo aikštelių įrengimo ir atnaujinimo programos įgyvendinimas</t>
    </r>
    <r>
      <rPr>
        <sz val="10"/>
        <color rgb="FFFF0000"/>
        <rFont val="Times New Roman"/>
        <family val="1"/>
        <charset val="186"/>
      </rPr>
      <t xml:space="preserve"> </t>
    </r>
  </si>
  <si>
    <t xml:space="preserve">Prevencinio projekto„Saugus eismas – saugus Tu“ įgyvendinimas kartu su Klaipėdos apskrities vyriausiuoju policijos komisariatu </t>
  </si>
  <si>
    <t xml:space="preserve">Prevencinio projekto „Saugi Klaipėda“ įgyvendinimas kartu su Klaipėdos apskrities vyriausiuoju policijos komisariatu </t>
  </si>
  <si>
    <t>MŪD Aplinkoks kokybės sk.</t>
  </si>
  <si>
    <t>Įgyvendintas priemonių 2019–2021 metų planas. Užbaigtumas, proc.</t>
  </si>
  <si>
    <t xml:space="preserve">Prižiūrima tūrinių ir kitų gėlinių, vnt. </t>
  </si>
  <si>
    <t>45</t>
  </si>
  <si>
    <t>Viešųjų erdvių, gatvių ir kiemų apšvietimo įrengimas:</t>
  </si>
  <si>
    <t>P6</t>
  </si>
  <si>
    <r>
      <t xml:space="preserve">P2.4.2.2, </t>
    </r>
    <r>
      <rPr>
        <b/>
        <sz val="8"/>
        <rFont val="Times New Roman"/>
        <family val="1"/>
        <charset val="186"/>
      </rPr>
      <t>P6</t>
    </r>
  </si>
  <si>
    <t>Automobilių stovėjimo aikštelių projektavimas, įrengimas ir atnaujinimas</t>
  </si>
  <si>
    <r>
      <t xml:space="preserve">P2.4.2.5, </t>
    </r>
    <r>
      <rPr>
        <b/>
        <sz val="8"/>
        <rFont val="Times New Roman"/>
        <family val="1"/>
        <charset val="186"/>
      </rPr>
      <t>P6</t>
    </r>
  </si>
  <si>
    <t>Kapitališkai suremontuota atraminių apsauginių įėjimo į Girulių paplūdimį sienų. Užbaigtumas, proc. (darbų pradžia 2022 m.)</t>
  </si>
  <si>
    <t>Kapitališkai suremontuota atraminių apsauginių įėjimo į paplūdimį sienų. Užbaigtumas, proc. (darbų pradžia 2022 m.)</t>
  </si>
  <si>
    <t>(rangos darbų pradžia 2022 m.)</t>
  </si>
  <si>
    <t xml:space="preserve">2019–2021 M. KLAIPĖDOS MIESTO SAVIVALDYBĖS </t>
  </si>
  <si>
    <t>priedas</t>
  </si>
  <si>
    <t xml:space="preserve">Klaipėdos miesto savivaldybės miesto infrastruktūros objektų </t>
  </si>
  <si>
    <t xml:space="preserve">priežiūros ir modernizavimo programos (Nr. 07) aprašymo   </t>
  </si>
  <si>
    <t>Įrengta vaikų žaidimų aikštelių (Pempininkų ir Debreceno aikščių prieigose), vnt.</t>
  </si>
  <si>
    <t>Smiltynės g. 14B (prie bendro paplūdimio )</t>
  </si>
  <si>
    <t>Sudarytas locmano žemėlapis vnt.</t>
  </si>
  <si>
    <t>Parengta galimybių studija, vnt.</t>
  </si>
  <si>
    <t>Akmenos-Danės upės vidaus vandens kelio valdymas:</t>
  </si>
  <si>
    <t xml:space="preserve">Privažiuojamojo kelio ties Baltijos pr. 109 lietaus nuotekų tinklų statyba
</t>
  </si>
  <si>
    <t>Parengta atraminių apsauginių įėjimo į paplūdimius sienučių techninių projektų, vnt.</t>
  </si>
  <si>
    <t>P2.4.2.2.</t>
  </si>
  <si>
    <t>Atlikta tako atnaujinimo darbų (darbų pradžia 2022 m.). Užbaigtumas, proc.</t>
  </si>
  <si>
    <t xml:space="preserve">Pėsčiųjų tako sutvarkymas palei Taikos pr. nuo Sausio 15-osios iki Kauno g., paverčiant viešąja erdve, pritaikyta gyventojams bei smulkiajam ir vidutiniam verslui  </t>
  </si>
  <si>
    <t xml:space="preserve">Vaikų žaidimo aikštelių įrengimo ir atnaujinimo programos įgyvendinimas </t>
  </si>
  <si>
    <t>Įsigyta šviečiančių kalėdinių elementų apšvietimo atramoms, vnt.</t>
  </si>
  <si>
    <t>Įsigyta šviesos elementų (LED girliandų) fasadams ir medžiams puošti, tūkst. vnt</t>
  </si>
  <si>
    <t>Įsigyta šviesos elementų (LED girliandų) fasadams ir medžiams puošti, tūkst. m</t>
  </si>
  <si>
    <t>Pakabinta ir eksploatuojama papuošimo elementų, vnt.</t>
  </si>
  <si>
    <t>Pakabinta ir eksploatuojama šviesos elementų (LED girliandų) fasadams ir medžiams puošti, tūkst. m</t>
  </si>
  <si>
    <t>Klaipėdos miesto paplūdimių sutvarkymo priemonių plano įgyvendinimas</t>
  </si>
  <si>
    <t>______________________________________</t>
  </si>
  <si>
    <t>2019-ųjų metų asignavi-mų planas</t>
  </si>
  <si>
    <t>Atlikta fontano „Laivelis“ skvere prie „Meridiano“ atnaujinimo darbų. Užbaigtumas, proc.</t>
  </si>
  <si>
    <t>Įsigyta kalėdinių papuošimo elementų ir eglė:</t>
  </si>
  <si>
    <t>Atlikta vandens maudyklų tyrimų, skaičius</t>
  </si>
  <si>
    <t>Įrengtas konteinerinis tualetas prie moterų paplūdimio Melnragėje, Kopų g. 40, vnt.</t>
  </si>
  <si>
    <t>Smiltynės g. 14B (prie bendrojo paplūdimio)</t>
  </si>
  <si>
    <t>Pasirasirašyta sutartis dėl dalyvavimo Mėlynosios vėliavos programoje I Smiltynės ir II Melnragės paplūdimiuose, vnt.</t>
  </si>
  <si>
    <t>II Melnragės gelbėjimo stotyje esančios kavinės nuoma</t>
  </si>
  <si>
    <t>Įsigyta ir prižiūrėta paplūdimių inventoriaus (mobilių gelbėjimo stočių, gelbėjimosi lentų,  paplūdimių stendų, naro kostiumų, keturratis motociklas, radijo bangomis valdomų gelbėjimo plaustų), vnt.</t>
  </si>
  <si>
    <t>Sporto aikštelės (krepšinio ir lauko teniso) įrengimas Smiltynės paplūdimyje. Užbaigtumas proc.</t>
  </si>
  <si>
    <r>
      <t>Autonominių belaidžio (</t>
    </r>
    <r>
      <rPr>
        <i/>
        <sz val="10"/>
        <rFont val="Times New Roman"/>
        <family val="1"/>
        <charset val="186"/>
      </rPr>
      <t>Wi-Fi</t>
    </r>
    <r>
      <rPr>
        <sz val="10"/>
        <rFont val="Times New Roman"/>
        <family val="1"/>
        <charset val="186"/>
      </rPr>
      <t>) ryšio stotelių priežiūra, vnt.</t>
    </r>
  </si>
  <si>
    <t>Praėjimo take nuo dviračių tako iki Debreceno g. 52 namo;</t>
  </si>
  <si>
    <t>Otų g.;</t>
  </si>
  <si>
    <r>
      <t>Suteikta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</si>
  <si>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belaidžio ryšio (</t>
    </r>
    <r>
      <rPr>
        <i/>
        <sz val="10"/>
        <rFont val="Times New Roman"/>
        <family val="1"/>
        <charset val="186"/>
      </rPr>
      <t>Wi-Fi</t>
    </r>
    <r>
      <rPr>
        <sz val="10"/>
        <rFont val="Times New Roman"/>
        <family val="1"/>
        <charset val="186"/>
      </rPr>
      <t>) paslaugos teikimas</t>
    </r>
  </si>
  <si>
    <t>Praėjimo take nuo Taikos pr. 8 iki Sausio     15-osios g. 2A;</t>
  </si>
  <si>
    <t>Retransliuojamo vaizdo stebėjimo kamerų viešosiose vietose eksploatacija</t>
  </si>
  <si>
    <r>
      <t xml:space="preserve">Pėsčiųjų tako sutvarkymas palei Taikos pr. nuo Sausio 15-osios g. iki Kauno g., paverčiant viešąja erdve, pritaikyta gyventojams bei smulkiajam ir vidutiniam verslui </t>
    </r>
    <r>
      <rPr>
        <sz val="10"/>
        <color rgb="FFFF0000"/>
        <rFont val="Times New Roman"/>
        <family val="1"/>
        <charset val="186"/>
      </rPr>
      <t xml:space="preserve"> </t>
    </r>
  </si>
  <si>
    <t>Želdinių tvarkymas</t>
  </si>
  <si>
    <t>Daugiabučio namo Vingio g. 35 modernizavimo techninio darbo projekto parengimas</t>
  </si>
  <si>
    <t>Įrengta vaikų žaidimų aikštelių viešosiose erdvėse, vnt.</t>
  </si>
  <si>
    <t>Prižiūrima vaikų žaidimų aikštelių viešosiose erdvėse, vnt.</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</si>
  <si>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</si>
  <si>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</si>
  <si>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Privažiuojamojo kelio ties Baltijos pr. 109 lietaus nuotekų tinklų tiesimas
</t>
  </si>
  <si>
    <t>Atlikta fontano „Laivelis“ skvere prie „Meridiano“ atnaujinimo darbų.  Užbaigtumas, proc.</t>
  </si>
  <si>
    <t>Siūlomas keisti 2019-ųjų metų asignavimų planas</t>
  </si>
  <si>
    <t>Siūlomas keisti 2021-ųjų metų  lėšų projektas</t>
  </si>
  <si>
    <t>Siūlomas keisti 2019 metų  asignavimų planas</t>
  </si>
  <si>
    <t>planas</t>
  </si>
  <si>
    <t>Parengtas naujų gertuvių įrengimo projektas, vnt.</t>
  </si>
  <si>
    <t>Karlsronos aikštė</t>
  </si>
  <si>
    <t>S. Daukanto g. 13A ir Pievų Tako g. 8–3;</t>
  </si>
  <si>
    <t>Pravažiavime nuo J. Janonio g. 5 iki Pievų  tako g. 37;</t>
  </si>
  <si>
    <t>Atnaujintas vaizdo stebėjimo punktas, vnt.</t>
  </si>
  <si>
    <t xml:space="preserve">Prevencinio projekto „Mažinkime triukšmą mieste“ įgyvendinimas kartu su Klaipėdos apskrities vyriausiuoju policijos komisariatu </t>
  </si>
  <si>
    <t xml:space="preserve">Parengta žemėlapio programa, skirta 2014–2020 m. integruotų investicijų programos projektams viešinti, vnt. </t>
  </si>
  <si>
    <t>SB(VR)</t>
  </si>
  <si>
    <t>Įsigyta ir įrengta apsauginė tvorelė, vnt.</t>
  </si>
  <si>
    <t xml:space="preserve">Atnaujintas konteinerinis tualetas Kruzinių laivų terminale, vnt. </t>
  </si>
  <si>
    <t>Parengtas inžinerinių tinklų, reikalingų Kruizinių laivų terminale tualetui eksploatuoti, techninis projektas, vnt.</t>
  </si>
  <si>
    <t xml:space="preserve">Atlikta daugiabučių namų kiemų sutvarkymo (143403 m2) darbų. Užbaigtumas, proc. </t>
  </si>
  <si>
    <t>2020-ųjų metų asignavimų planas</t>
  </si>
  <si>
    <t>2022-ųjų metų lėšų projektas</t>
  </si>
  <si>
    <t>2022-ieji metai</t>
  </si>
  <si>
    <t xml:space="preserve">2019–2022 M. KLAIPĖDOS MIESTO SAVIVALDYBĖS </t>
  </si>
  <si>
    <r>
      <rPr>
        <strike/>
        <sz val="10"/>
        <color rgb="FFFF0000"/>
        <rFont val="Times New Roman"/>
        <family val="1"/>
        <charset val="186"/>
      </rPr>
      <t xml:space="preserve">50    </t>
    </r>
    <r>
      <rPr>
        <sz val="10"/>
        <color rgb="FFFF0000"/>
        <rFont val="Times New Roman"/>
        <family val="1"/>
        <charset val="186"/>
      </rPr>
      <t xml:space="preserve"> 25</t>
    </r>
  </si>
  <si>
    <r>
      <rPr>
        <strike/>
        <sz val="10"/>
        <color rgb="FFFF0000"/>
        <rFont val="Times New Roman"/>
        <family val="1"/>
        <charset val="186"/>
      </rPr>
      <t>100</t>
    </r>
    <r>
      <rPr>
        <sz val="10"/>
        <color rgb="FFFF0000"/>
        <rFont val="Times New Roman"/>
        <family val="1"/>
        <charset val="186"/>
      </rPr>
      <t xml:space="preserve"> 70</t>
    </r>
  </si>
  <si>
    <r>
      <t xml:space="preserve">100  </t>
    </r>
    <r>
      <rPr>
        <sz val="10"/>
        <color rgb="FFFF0000"/>
        <rFont val="Times New Roman"/>
        <family val="1"/>
        <charset val="186"/>
      </rPr>
      <t>10</t>
    </r>
  </si>
  <si>
    <r>
      <rPr>
        <strike/>
        <sz val="10"/>
        <color rgb="FFFF0000"/>
        <rFont val="Times New Roman"/>
        <family val="1"/>
        <charset val="186"/>
      </rPr>
      <t>5,8</t>
    </r>
    <r>
      <rPr>
        <sz val="10"/>
        <color rgb="FFFF0000"/>
        <rFont val="Times New Roman"/>
        <family val="1"/>
        <charset val="186"/>
      </rPr>
      <t xml:space="preserve"> 10,3</t>
    </r>
  </si>
  <si>
    <t xml:space="preserve">Prevencinio projekto „Stebima Klaipėda saugesnė“ įgyvendinimas kartu su Klaipėdos apskrities vyriausiuoju policijos komisariatu </t>
  </si>
  <si>
    <t xml:space="preserve">Siūloma sumažinti finansavimo apimtį 2019 m., atitinkamai padidinti 2020 m. ir patikslinti vertinimo kriterijaus reikšmę. Ilgiau nei planuota užtruko techninio projekto parengimas bei rangos darbų konkurso procedūros, todėl darbai bus pradėti tik 2020 m. </t>
  </si>
  <si>
    <t>Siūloma sumažinti finansavimo apimtį 2019 m., atitinkamai padidinti 2020 m. ir patikslinti vertinimo kriterijaus reikšmę. Šiuo metu vykdoma techninio projekto ekspertizė (projektuotojas laiku nevykdo savo įsipareigojimų), todėl aikštės atnaujinimo darbai šiais metais nebus pradėti. Darbų pradžia numatoma 2020 m., o pabaiga - 2022 m.</t>
  </si>
  <si>
    <t xml:space="preserve">Siūloma padidinti projekto finansinę apimtį, nes įgyvendinimo metu iškilus būtinybei keisti meninį akcentą dėl vandalizmo grėsmės bei priežiūros, buvo parengtas alternatyvus pasiūlymas iš granito ir nerūdyjančio plieno. </t>
  </si>
  <si>
    <t xml:space="preserve">Siūloma mažinti papriemonės finansinę apimtį ir atitinkamai koreguoti vertinimo kriterijaus reikšmę, kadangi šiais metais bus parengtas tik techninis darbo projektas, o rangos darbų pradžia planuojama 2020 m. Paaiškėjo, kad paprastojo darbų aprašo šlaitų sutvirtinimui neužtenka, reikalingas techninis projektas.
</t>
  </si>
  <si>
    <t xml:space="preserve">Siūloma mažinti papriemonės finansavimo apimtį 2020 m., darbų pradžią planuoti  2021 m., kadangi 2020 m. planuojama parengti techninius projektus. </t>
  </si>
  <si>
    <t>Siūloma sumažinti priemonės finansinę apimtį, kadangi rangos darbai nupirkti už mažesnę kainą nei planuota.</t>
  </si>
  <si>
    <t>Siūloma mažinti priemonės finansinę apimtį 2019 m., kadangi šiais metais nebus įsigyta vaizdo stebėjimo kamerų duomenų, dominančių įvykių paieškos apdorojimo, paslauga. Užsitęsus viešųjų pirkimų procedūroms (vyko teisminiai procesai) dar neįrengtos visos suplanuotos vaizdo stebėjimo kameros (29 kameros jau įrengtos, 4 – gruodžio mėn.), todėl įsigyti minėtą paslaugą buvo netikslinga, tai bus atlikta 2020 m.</t>
  </si>
  <si>
    <t xml:space="preserve">Siūloma didinti priemonės finansinę apimtį ir vertinimo kriterijų reikšmes, kadangi planuojama atnaujinti ir įrengti daugiau automobilių stovėjimo vietų bei  pagal parengtus projektus įrengti daugiau apšvietimo tinklų nei planuota metų pradžioje. Lėšų poreikis iš dalies didėja ne tik dėl planuojamų atlikti darbų augančio kiekio, bet ir pabrangusių darbų (viešųjų pirkimų metu pasiūlytos didesnės kainos nei planuota). </t>
  </si>
  <si>
    <r>
      <rPr>
        <strike/>
        <sz val="10"/>
        <color rgb="FFFF0000"/>
        <rFont val="Times New Roman"/>
        <family val="1"/>
        <charset val="186"/>
      </rPr>
      <t xml:space="preserve">5 </t>
    </r>
    <r>
      <rPr>
        <sz val="10"/>
        <color rgb="FFFF0000"/>
        <rFont val="Times New Roman"/>
        <family val="1"/>
        <charset val="186"/>
      </rPr>
      <t xml:space="preserve">  0</t>
    </r>
  </si>
  <si>
    <r>
      <rPr>
        <strike/>
        <sz val="10"/>
        <color rgb="FFFF0000"/>
        <rFont val="Times New Roman"/>
        <family val="1"/>
        <charset val="186"/>
      </rPr>
      <t xml:space="preserve"> 40 </t>
    </r>
    <r>
      <rPr>
        <sz val="10"/>
        <color rgb="FFFF0000"/>
        <rFont val="Times New Roman"/>
        <family val="1"/>
        <charset val="186"/>
      </rPr>
      <t>0</t>
    </r>
  </si>
  <si>
    <t xml:space="preserve">Siūloma mažinti papriemonės finansinę apimtį  2019 m. ir vertinimo kriterijaus reikšmę, nes bus atlikta mažiau nei planuota darbų. Planuotų darbų Kauno g. 31-35 nepavyks įvykdyti, kadangi techninis projektas bus parengtas tik metų pabaigoje, todėl darbai nusikelia į 2020 m. Be to, buvo nutrauktas ir bus kartojamas viešasis pirkimas dėl kolektoriaus ir paviršinių nuotekų tinklų KLASCO teritorijoje rekonstravimo (tikslinama techninė specifikacija, iškilo klausimų dėl aplink šią teritoriją vykstančių projektų). </t>
  </si>
  <si>
    <t>785</t>
  </si>
  <si>
    <t xml:space="preserve">Siūloma mažinti papriemonės finansavimo apimtį 2021 m., darbų pradžią planuoti 2022 m., kadangi 2021 m. bus rengiami techniniai projektai. </t>
  </si>
  <si>
    <t>Kadangi projekto paraiška pakartotinai vertinama agentūroje, vėlavo projekto įgyvendinimo veiklos ir iki metų galo nebus panaudotos  planuotos SB(ES) ir SB(VB) lėšos, siūloma atitinkamai sumažinti projekto finansavimo apimtį 2019 m. ir padidinti 2020 m. bei koreguoti vertinimo kriterijaus reikšmę</t>
  </si>
  <si>
    <t xml:space="preserve">Kadangi techninis projektas buvo pakartotinai pateiktas ekspertizei atlikti ir vėliau nei planuota gautas statybą leidžiantis dokumentas, 2019 m. nebus pradėti rangos darbai ir panaudotos  SB(ES) ir SB(VB) lėšos. Dėl to siūloma sumažinti projekto finansinę apimtį 2019 m., atitinkamai padidinti 2020 m. bei koreguoti vertinimo kriterijaus reikšmę </t>
  </si>
  <si>
    <t xml:space="preserve">Klaipėdos apskrities vyriausiasis policijos komisariatas (VPK) pasiūlė kartu įgyvendinti  naują projektą, kurio tikslas – nuotoliniu būdu stebėti Klaipėdos miesto situaciją viešose erdvėse, vykdyti teisės pažeidimų prevenciją, nedelsiant reaguoti ir užkardyti daromas nusikalstamas veikas. Iš projekto lėšų VPK patalpoms būtų reikalinga įsigyti baldus, interaktyvią lentą, vaizdo stebėjimo kameromis užfiksuoto vaizdo atminties saugojimo talpyklas. </t>
  </si>
  <si>
    <t>STR3-12</t>
  </si>
  <si>
    <t>Siūloma didinti investicinio projekto vertę, atitinkamai didinti finansines apimtis 2020-2021 m. Vykdant viešųjų pirkimų procedūras dėl rangos darbų, buvo gauti keturi tiekėjų pasiūlymai, kurių kaina viršija patvirtintas projekto lėšas. Taip pat siūloma  tikslinti projekto finansavimo apimtį 2019 m., kadangi užtrukus projektavimui ir rangos darbų pirkimui, iki metų galo nebebus panaudotos   SB(ES) ir SB(VB) lėšos. Atitinkamai siūloma koreguoti vertinimo kriterijaus reikšmę. Projekto vertė didėja 5,4 tūkst. eur</t>
  </si>
  <si>
    <t>Siūloma mažinti papriemonės finansavimo apimtį 2020 m., kadangi atsižvelgus į 2019 m. rezultatus, prognozuojama, kad priemonei įgyvendinti reikės mažiau lėšų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</si>
</sst>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40"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9"/>
      <name val="Arial"/>
      <family val="2"/>
      <charset val="186"/>
    </font>
    <font>
      <u/>
      <sz val="10"/>
      <name val="Times New Roman"/>
      <family val="1"/>
      <charset val="186"/>
    </font>
    <font>
      <sz val="10"/>
      <color theme="1"/>
      <name val="Times New Roman"/>
      <family val="1"/>
      <charset val="186"/>
    </font>
    <font>
      <b/>
      <sz val="10"/>
      <name val="Cambria"/>
      <family val="1"/>
      <charset val="186"/>
    </font>
    <font>
      <sz val="10"/>
      <name val="Cambria"/>
      <family val="1"/>
      <charset val="186"/>
    </font>
    <font>
      <b/>
      <i/>
      <sz val="10"/>
      <name val="Times New Roman"/>
      <family val="1"/>
      <charset val="186"/>
    </font>
    <font>
      <sz val="10"/>
      <color rgb="FF00B050"/>
      <name val="Times New Roman"/>
      <family val="1"/>
      <charset val="186"/>
    </font>
    <font>
      <b/>
      <sz val="10"/>
      <color rgb="FF00B050"/>
      <name val="Times New Roman"/>
      <family val="1"/>
      <charset val="186"/>
    </font>
    <font>
      <sz val="12"/>
      <name val="Arial"/>
      <family val="2"/>
      <charset val="186"/>
    </font>
    <font>
      <sz val="11"/>
      <color rgb="FF000000"/>
      <name val="Calibri"/>
      <family val="2"/>
      <charset val="186"/>
    </font>
    <font>
      <b/>
      <sz val="10"/>
      <color theme="1"/>
      <name val="Times New Roman"/>
      <family val="1"/>
      <charset val="186"/>
    </font>
    <font>
      <strike/>
      <sz val="10"/>
      <color rgb="FFFF0000"/>
      <name val="Times New Roman"/>
      <family val="1"/>
      <charset val="186"/>
    </font>
    <font>
      <b/>
      <i/>
      <sz val="11"/>
      <color theme="1"/>
      <name val="Times New Roman"/>
      <family val="1"/>
      <charset val="186"/>
    </font>
    <font>
      <sz val="10"/>
      <color rgb="FFFF0000"/>
      <name val="Times New Roman"/>
      <family val="1"/>
    </font>
    <font>
      <strike/>
      <sz val="10"/>
      <name val="Times New Roman"/>
      <family val="1"/>
      <charset val="186"/>
    </font>
    <font>
      <sz val="10"/>
      <color theme="0"/>
      <name val="Times New Roman"/>
      <family val="1"/>
      <charset val="186"/>
    </font>
  </fonts>
  <fills count="14">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bgColor rgb="FFD9D9D9"/>
      </patternFill>
    </fill>
  </fills>
  <borders count="116">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s>
  <cellStyleXfs count="4">
    <xf numFmtId="0" fontId="0" fillId="0" borderId="0"/>
    <xf numFmtId="0" fontId="7" fillId="0" borderId="0"/>
    <xf numFmtId="0" fontId="3" fillId="2" borderId="1" applyBorder="0">
      <alignment horizontal="left" vertical="top" wrapText="1"/>
    </xf>
    <xf numFmtId="166" fontId="33" fillId="0" borderId="0" applyBorder="0" applyProtection="0"/>
  </cellStyleXfs>
  <cellXfs count="1723">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Border="1" applyAlignment="1">
      <alignment horizontal="center" vertical="center" textRotation="90"/>
    </xf>
    <xf numFmtId="0" fontId="3" fillId="0" borderId="0" xfId="0" applyFont="1" applyAlignment="1">
      <alignment vertical="top"/>
    </xf>
    <xf numFmtId="49" fontId="5" fillId="3" borderId="4" xfId="0" applyNumberFormat="1" applyFont="1" applyFill="1" applyBorder="1" applyAlignment="1">
      <alignment horizontal="center" vertical="top"/>
    </xf>
    <xf numFmtId="0" fontId="3" fillId="0" borderId="5" xfId="0" applyFont="1" applyFill="1" applyBorder="1" applyAlignment="1">
      <alignment horizontal="center" vertical="top" wrapText="1"/>
    </xf>
    <xf numFmtId="0" fontId="3" fillId="0" borderId="0" xfId="0" applyFont="1" applyFill="1" applyBorder="1" applyAlignment="1">
      <alignment vertical="top"/>
    </xf>
    <xf numFmtId="0" fontId="3" fillId="0" borderId="8"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8" xfId="0" applyFont="1" applyFill="1" applyBorder="1" applyAlignment="1">
      <alignment vertical="top" wrapText="1"/>
    </xf>
    <xf numFmtId="0" fontId="3" fillId="0" borderId="0" xfId="0" applyNumberFormat="1" applyFont="1" applyFill="1" applyBorder="1" applyAlignment="1">
      <alignment vertical="top" wrapText="1"/>
    </xf>
    <xf numFmtId="164" fontId="3" fillId="0" borderId="0" xfId="0" applyNumberFormat="1" applyFont="1" applyAlignment="1">
      <alignment vertical="top"/>
    </xf>
    <xf numFmtId="0" fontId="3" fillId="0" borderId="0" xfId="0" applyFont="1" applyAlignment="1">
      <alignment horizontal="center" vertical="top"/>
    </xf>
    <xf numFmtId="49" fontId="5" fillId="4" borderId="53" xfId="0" applyNumberFormat="1" applyFont="1" applyFill="1" applyBorder="1" applyAlignment="1">
      <alignment horizontal="center" vertical="top"/>
    </xf>
    <xf numFmtId="0" fontId="3" fillId="0" borderId="21" xfId="0" applyFont="1" applyFill="1" applyBorder="1" applyAlignment="1">
      <alignment horizontal="center" vertical="top" wrapText="1"/>
    </xf>
    <xf numFmtId="0" fontId="5" fillId="8" borderId="59" xfId="0" applyFont="1" applyFill="1" applyBorder="1" applyAlignment="1">
      <alignment horizontal="center" vertical="top"/>
    </xf>
    <xf numFmtId="0" fontId="3" fillId="6" borderId="8" xfId="0" applyFont="1" applyFill="1" applyBorder="1" applyAlignment="1">
      <alignment horizontal="center" vertical="top"/>
    </xf>
    <xf numFmtId="49" fontId="5" fillId="10" borderId="14" xfId="0" applyNumberFormat="1" applyFont="1" applyFill="1" applyBorder="1" applyAlignment="1">
      <alignment horizontal="center" vertical="top" wrapText="1"/>
    </xf>
    <xf numFmtId="49" fontId="5" fillId="10" borderId="37" xfId="0" applyNumberFormat="1" applyFont="1" applyFill="1" applyBorder="1" applyAlignment="1">
      <alignment horizontal="center" vertical="top"/>
    </xf>
    <xf numFmtId="49" fontId="5" fillId="10" borderId="32" xfId="0" applyNumberFormat="1" applyFont="1" applyFill="1" applyBorder="1" applyAlignment="1">
      <alignment horizontal="center" vertical="top"/>
    </xf>
    <xf numFmtId="49" fontId="5" fillId="10" borderId="53" xfId="0" applyNumberFormat="1" applyFont="1" applyFill="1" applyBorder="1" applyAlignment="1">
      <alignment horizontal="center" vertical="top"/>
    </xf>
    <xf numFmtId="49" fontId="5" fillId="10" borderId="57" xfId="0" applyNumberFormat="1" applyFont="1" applyFill="1" applyBorder="1" applyAlignment="1">
      <alignment horizontal="center" vertical="top"/>
    </xf>
    <xf numFmtId="49" fontId="5" fillId="10" borderId="7" xfId="0" applyNumberFormat="1" applyFont="1" applyFill="1" applyBorder="1" applyAlignment="1">
      <alignment horizontal="center" vertical="top" wrapText="1"/>
    </xf>
    <xf numFmtId="0" fontId="3" fillId="6" borderId="74" xfId="0" applyFont="1" applyFill="1" applyBorder="1" applyAlignment="1">
      <alignment horizontal="left" vertical="top" wrapText="1"/>
    </xf>
    <xf numFmtId="49" fontId="3" fillId="6" borderId="15" xfId="0" applyNumberFormat="1" applyFont="1" applyFill="1" applyBorder="1" applyAlignment="1">
      <alignment horizontal="center" vertical="top" wrapText="1"/>
    </xf>
    <xf numFmtId="49" fontId="5" fillId="6" borderId="56" xfId="0" applyNumberFormat="1" applyFont="1" applyFill="1" applyBorder="1" applyAlignment="1">
      <alignment horizontal="center" vertical="top"/>
    </xf>
    <xf numFmtId="3" fontId="3" fillId="6" borderId="19" xfId="0" applyNumberFormat="1" applyFont="1" applyFill="1" applyBorder="1" applyAlignment="1">
      <alignment horizontal="center" vertical="top" wrapText="1"/>
    </xf>
    <xf numFmtId="0" fontId="5" fillId="8" borderId="32" xfId="0" applyFont="1" applyFill="1" applyBorder="1" applyAlignment="1">
      <alignment horizontal="center" vertical="top"/>
    </xf>
    <xf numFmtId="0" fontId="3" fillId="0" borderId="8" xfId="0" applyFont="1" applyBorder="1" applyAlignment="1">
      <alignment horizontal="center" vertical="top"/>
    </xf>
    <xf numFmtId="0" fontId="3" fillId="0" borderId="21" xfId="0" applyFont="1" applyBorder="1" applyAlignment="1">
      <alignment horizontal="center" vertical="top"/>
    </xf>
    <xf numFmtId="3" fontId="3" fillId="0" borderId="93" xfId="0" applyNumberFormat="1" applyFont="1" applyFill="1" applyBorder="1" applyAlignment="1">
      <alignment horizontal="center" vertical="top" wrapText="1"/>
    </xf>
    <xf numFmtId="49" fontId="5" fillId="10" borderId="14"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23"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6" borderId="74" xfId="0" applyFont="1" applyFill="1" applyBorder="1" applyAlignment="1">
      <alignment vertical="top" wrapText="1"/>
    </xf>
    <xf numFmtId="0" fontId="3" fillId="0" borderId="89" xfId="0" applyFont="1" applyFill="1" applyBorder="1" applyAlignment="1">
      <alignment vertical="top" wrapText="1"/>
    </xf>
    <xf numFmtId="3" fontId="3" fillId="0" borderId="0" xfId="0" applyNumberFormat="1" applyFont="1" applyAlignment="1">
      <alignment vertical="top"/>
    </xf>
    <xf numFmtId="0" fontId="3" fillId="2" borderId="79" xfId="0" applyFont="1" applyFill="1" applyBorder="1" applyAlignment="1">
      <alignment horizontal="left" vertical="top" wrapText="1"/>
    </xf>
    <xf numFmtId="0" fontId="3" fillId="0" borderId="6" xfId="0" applyFont="1" applyBorder="1" applyAlignment="1">
      <alignment horizontal="center" vertical="center"/>
    </xf>
    <xf numFmtId="49" fontId="5" fillId="2" borderId="47"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2" xfId="0" applyNumberFormat="1" applyFont="1" applyFill="1" applyBorder="1" applyAlignment="1">
      <alignment horizontal="right" vertical="top"/>
    </xf>
    <xf numFmtId="0" fontId="5" fillId="0" borderId="26" xfId="0" applyFont="1" applyBorder="1" applyAlignment="1">
      <alignment horizontal="center" vertical="center"/>
    </xf>
    <xf numFmtId="0" fontId="5" fillId="6" borderId="17"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21" xfId="0" applyFont="1" applyFill="1" applyBorder="1" applyAlignment="1">
      <alignment horizontal="center" vertical="center"/>
    </xf>
    <xf numFmtId="49" fontId="5" fillId="6" borderId="47" xfId="0" applyNumberFormat="1" applyFont="1" applyFill="1" applyBorder="1" applyAlignment="1">
      <alignment horizontal="center" vertical="center"/>
    </xf>
    <xf numFmtId="0" fontId="3" fillId="6" borderId="5" xfId="0" applyFont="1" applyFill="1" applyBorder="1" applyAlignment="1">
      <alignment horizontal="center" vertical="top"/>
    </xf>
    <xf numFmtId="0" fontId="3" fillId="6" borderId="21" xfId="0" applyFont="1" applyFill="1" applyBorder="1" applyAlignment="1">
      <alignment horizontal="center" vertical="top"/>
    </xf>
    <xf numFmtId="0" fontId="3" fillId="6" borderId="6" xfId="0" applyFont="1" applyFill="1" applyBorder="1" applyAlignment="1">
      <alignment horizontal="center" vertical="top" wrapText="1"/>
    </xf>
    <xf numFmtId="49" fontId="5" fillId="9" borderId="23" xfId="0" applyNumberFormat="1" applyFont="1" applyFill="1" applyBorder="1" applyAlignment="1">
      <alignment horizontal="center" vertical="top"/>
    </xf>
    <xf numFmtId="3" fontId="7" fillId="0" borderId="0" xfId="0" applyNumberFormat="1" applyFont="1" applyFill="1" applyAlignment="1">
      <alignment horizontal="left" vertical="top"/>
    </xf>
    <xf numFmtId="0" fontId="3" fillId="6" borderId="96" xfId="0" applyFont="1" applyFill="1" applyBorder="1" applyAlignment="1">
      <alignment horizontal="center" vertical="top"/>
    </xf>
    <xf numFmtId="0" fontId="3" fillId="6" borderId="21" xfId="0" applyFont="1" applyFill="1" applyBorder="1" applyAlignment="1">
      <alignment horizontal="center" vertical="center" wrapText="1"/>
    </xf>
    <xf numFmtId="3" fontId="3" fillId="0" borderId="30" xfId="0" applyNumberFormat="1" applyFont="1" applyFill="1" applyBorder="1" applyAlignment="1">
      <alignment horizontal="center" vertical="top"/>
    </xf>
    <xf numFmtId="49" fontId="3" fillId="6" borderId="43" xfId="0" applyNumberFormat="1" applyFont="1" applyFill="1" applyBorder="1" applyAlignment="1">
      <alignment horizontal="center" vertical="top"/>
    </xf>
    <xf numFmtId="49" fontId="3" fillId="6" borderId="8" xfId="0" applyNumberFormat="1" applyFont="1" applyFill="1" applyBorder="1" applyAlignment="1">
      <alignment horizontal="center" vertical="top"/>
    </xf>
    <xf numFmtId="49" fontId="5" fillId="6" borderId="38"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5" xfId="0" applyNumberFormat="1" applyFont="1" applyFill="1" applyBorder="1" applyAlignment="1">
      <alignment horizontal="center" vertical="top"/>
    </xf>
    <xf numFmtId="0" fontId="7" fillId="6" borderId="37" xfId="0" applyFont="1" applyFill="1" applyBorder="1" applyAlignment="1">
      <alignment horizontal="center" vertical="top"/>
    </xf>
    <xf numFmtId="49" fontId="5" fillId="3" borderId="70" xfId="0" applyNumberFormat="1" applyFont="1" applyFill="1" applyBorder="1" applyAlignment="1">
      <alignment horizontal="center" vertical="top"/>
    </xf>
    <xf numFmtId="49" fontId="5" fillId="0" borderId="12" xfId="0" applyNumberFormat="1" applyFont="1" applyFill="1" applyBorder="1" applyAlignment="1">
      <alignment horizontal="center" vertical="top"/>
    </xf>
    <xf numFmtId="49" fontId="3" fillId="6" borderId="12" xfId="0" applyNumberFormat="1" applyFont="1" applyFill="1" applyBorder="1" applyAlignment="1">
      <alignment horizontal="center" vertical="top"/>
    </xf>
    <xf numFmtId="49" fontId="3" fillId="6" borderId="6" xfId="0" applyNumberFormat="1" applyFont="1" applyFill="1" applyBorder="1" applyAlignment="1">
      <alignment horizontal="center" vertical="top" wrapText="1"/>
    </xf>
    <xf numFmtId="0" fontId="3" fillId="0" borderId="11" xfId="0" applyFont="1" applyFill="1" applyBorder="1" applyAlignment="1">
      <alignment vertical="top" wrapText="1"/>
    </xf>
    <xf numFmtId="3" fontId="3" fillId="6" borderId="31" xfId="0" applyNumberFormat="1" applyFont="1" applyFill="1" applyBorder="1" applyAlignment="1">
      <alignment horizontal="center" vertical="top" wrapText="1"/>
    </xf>
    <xf numFmtId="0" fontId="3" fillId="6" borderId="9" xfId="0" applyFont="1" applyFill="1" applyBorder="1" applyAlignment="1">
      <alignment horizontal="left" wrapText="1"/>
    </xf>
    <xf numFmtId="0" fontId="7" fillId="6" borderId="17" xfId="0" applyFont="1" applyFill="1" applyBorder="1" applyAlignment="1">
      <alignment horizontal="center" vertical="center" wrapText="1"/>
    </xf>
    <xf numFmtId="3" fontId="3" fillId="0" borderId="19"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49" fontId="5" fillId="11" borderId="68" xfId="0" applyNumberFormat="1" applyFont="1" applyFill="1" applyBorder="1" applyAlignment="1">
      <alignment horizontal="center" vertical="top"/>
    </xf>
    <xf numFmtId="49" fontId="5" fillId="11" borderId="37" xfId="0" applyNumberFormat="1" applyFont="1" applyFill="1" applyBorder="1" applyAlignment="1">
      <alignment horizontal="center" vertical="top"/>
    </xf>
    <xf numFmtId="0" fontId="3" fillId="6" borderId="63" xfId="0" applyFont="1" applyFill="1" applyBorder="1" applyAlignment="1">
      <alignment horizontal="center" vertical="center" textRotation="90" wrapText="1"/>
    </xf>
    <xf numFmtId="0" fontId="5" fillId="0" borderId="12" xfId="0" applyFont="1" applyFill="1" applyBorder="1" applyAlignment="1">
      <alignment horizontal="left" vertical="top" wrapText="1"/>
    </xf>
    <xf numFmtId="0" fontId="3" fillId="6" borderId="17" xfId="0" applyFont="1" applyFill="1" applyBorder="1" applyAlignment="1">
      <alignment horizontal="center" vertical="center"/>
    </xf>
    <xf numFmtId="0" fontId="7" fillId="6" borderId="36" xfId="0" applyFont="1" applyFill="1" applyBorder="1" applyAlignment="1">
      <alignment horizontal="center" vertical="center" textRotation="90" wrapText="1"/>
    </xf>
    <xf numFmtId="0" fontId="7" fillId="6" borderId="18" xfId="0" applyFont="1" applyFill="1" applyBorder="1" applyAlignment="1">
      <alignment horizontal="center" vertical="center" textRotation="90" wrapText="1"/>
    </xf>
    <xf numFmtId="0" fontId="13" fillId="0" borderId="12" xfId="0" applyFont="1" applyFill="1" applyBorder="1" applyAlignment="1">
      <alignment horizontal="left" vertical="top" wrapText="1"/>
    </xf>
    <xf numFmtId="0" fontId="3" fillId="0" borderId="26" xfId="0" applyFont="1" applyBorder="1" applyAlignment="1">
      <alignment horizontal="center" vertical="center"/>
    </xf>
    <xf numFmtId="0" fontId="3" fillId="6" borderId="82" xfId="0" applyFont="1" applyFill="1" applyBorder="1" applyAlignment="1">
      <alignment vertical="center" wrapText="1"/>
    </xf>
    <xf numFmtId="165" fontId="5" fillId="8" borderId="20" xfId="0" applyNumberFormat="1" applyFont="1" applyFill="1" applyBorder="1" applyAlignment="1">
      <alignment horizontal="center" vertical="top" wrapText="1"/>
    </xf>
    <xf numFmtId="165" fontId="3" fillId="0" borderId="20" xfId="0" applyNumberFormat="1" applyFont="1" applyBorder="1" applyAlignment="1">
      <alignment horizontal="center" vertical="top" wrapText="1"/>
    </xf>
    <xf numFmtId="165" fontId="3" fillId="8" borderId="20" xfId="0" applyNumberFormat="1" applyFont="1" applyFill="1" applyBorder="1" applyAlignment="1">
      <alignment horizontal="center" vertical="top" wrapText="1"/>
    </xf>
    <xf numFmtId="0" fontId="7" fillId="6" borderId="15" xfId="0" applyFont="1" applyFill="1" applyBorder="1" applyAlignment="1">
      <alignment horizontal="center" vertical="center" textRotation="90" wrapText="1"/>
    </xf>
    <xf numFmtId="165" fontId="3" fillId="6" borderId="18" xfId="0" applyNumberFormat="1" applyFont="1" applyFill="1" applyBorder="1" applyAlignment="1">
      <alignment horizontal="center" vertical="top"/>
    </xf>
    <xf numFmtId="165" fontId="3" fillId="6" borderId="48"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6" borderId="69" xfId="0" applyNumberFormat="1" applyFont="1" applyFill="1" applyBorder="1" applyAlignment="1">
      <alignment horizontal="center" vertical="top"/>
    </xf>
    <xf numFmtId="165" fontId="3" fillId="6" borderId="28" xfId="0" applyNumberFormat="1" applyFont="1" applyFill="1" applyBorder="1" applyAlignment="1">
      <alignment horizontal="center" vertical="top"/>
    </xf>
    <xf numFmtId="165" fontId="3" fillId="6" borderId="46"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5"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3" fillId="6" borderId="96"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165" fontId="5" fillId="3" borderId="60" xfId="0" applyNumberFormat="1" applyFont="1" applyFill="1" applyBorder="1" applyAlignment="1">
      <alignment horizontal="center" vertical="top"/>
    </xf>
    <xf numFmtId="165" fontId="3" fillId="6" borderId="0" xfId="0" applyNumberFormat="1" applyFont="1" applyFill="1" applyBorder="1" applyAlignment="1">
      <alignment horizontal="center" vertical="center"/>
    </xf>
    <xf numFmtId="165" fontId="5" fillId="3" borderId="22" xfId="0" applyNumberFormat="1" applyFont="1" applyFill="1" applyBorder="1" applyAlignment="1">
      <alignment horizontal="center" vertical="top"/>
    </xf>
    <xf numFmtId="165" fontId="3" fillId="6" borderId="54" xfId="0" applyNumberFormat="1" applyFont="1" applyFill="1" applyBorder="1" applyAlignment="1">
      <alignment horizontal="center" vertical="top"/>
    </xf>
    <xf numFmtId="165" fontId="3" fillId="6" borderId="82" xfId="0" applyNumberFormat="1" applyFont="1" applyFill="1" applyBorder="1" applyAlignment="1">
      <alignment horizontal="center" vertical="top"/>
    </xf>
    <xf numFmtId="165" fontId="5" fillId="10" borderId="57" xfId="0" applyNumberFormat="1" applyFont="1" applyFill="1" applyBorder="1" applyAlignment="1">
      <alignment horizontal="center" vertical="top"/>
    </xf>
    <xf numFmtId="165" fontId="5" fillId="4" borderId="57" xfId="0" applyNumberFormat="1" applyFont="1" applyFill="1" applyBorder="1" applyAlignment="1">
      <alignment horizontal="center" vertical="top"/>
    </xf>
    <xf numFmtId="49" fontId="5" fillId="9" borderId="44" xfId="0" applyNumberFormat="1" applyFont="1" applyFill="1" applyBorder="1" applyAlignment="1">
      <alignment horizontal="center" vertical="top"/>
    </xf>
    <xf numFmtId="0" fontId="3" fillId="0" borderId="55" xfId="0" applyFont="1" applyBorder="1" applyAlignment="1">
      <alignment horizontal="center" vertical="center" textRotation="90" wrapText="1"/>
    </xf>
    <xf numFmtId="0" fontId="5" fillId="6" borderId="64" xfId="0" applyFont="1" applyFill="1" applyBorder="1" applyAlignment="1">
      <alignment horizontal="center" vertical="top" wrapText="1"/>
    </xf>
    <xf numFmtId="0" fontId="5" fillId="6" borderId="66" xfId="0" applyFont="1" applyFill="1" applyBorder="1" applyAlignment="1">
      <alignment horizontal="center" vertical="top" wrapText="1"/>
    </xf>
    <xf numFmtId="0" fontId="5" fillId="6" borderId="36" xfId="0" applyFont="1" applyFill="1" applyBorder="1" applyAlignment="1">
      <alignment horizontal="center" vertical="top" wrapText="1"/>
    </xf>
    <xf numFmtId="0" fontId="2" fillId="6" borderId="12" xfId="0" applyFont="1" applyFill="1" applyBorder="1" applyAlignment="1">
      <alignment horizontal="center" vertical="center" textRotation="90"/>
    </xf>
    <xf numFmtId="49" fontId="5" fillId="6" borderId="45" xfId="0" applyNumberFormat="1" applyFont="1" applyFill="1" applyBorder="1" applyAlignment="1">
      <alignment horizontal="center" vertical="top"/>
    </xf>
    <xf numFmtId="49" fontId="5" fillId="6" borderId="29" xfId="0" applyNumberFormat="1" applyFont="1" applyFill="1" applyBorder="1" applyAlignment="1">
      <alignment horizontal="center" vertical="center"/>
    </xf>
    <xf numFmtId="3" fontId="5" fillId="6" borderId="25" xfId="0" applyNumberFormat="1" applyFont="1" applyFill="1" applyBorder="1" applyAlignment="1">
      <alignment horizontal="center" vertical="top" wrapText="1"/>
    </xf>
    <xf numFmtId="3" fontId="5" fillId="6" borderId="15" xfId="0" applyNumberFormat="1" applyFont="1" applyFill="1" applyBorder="1" applyAlignment="1">
      <alignment horizontal="center" vertical="top" wrapText="1"/>
    </xf>
    <xf numFmtId="165" fontId="3" fillId="6" borderId="43"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165" fontId="3" fillId="6" borderId="42"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8" xfId="0" applyNumberFormat="1" applyFont="1" applyFill="1" applyBorder="1" applyAlignment="1">
      <alignment horizontal="center" vertical="top"/>
    </xf>
    <xf numFmtId="0" fontId="3" fillId="6" borderId="0" xfId="0" applyFont="1" applyFill="1" applyBorder="1" applyAlignment="1">
      <alignment vertical="top" wrapText="1"/>
    </xf>
    <xf numFmtId="0" fontId="22" fillId="0" borderId="0" xfId="0" applyFont="1"/>
    <xf numFmtId="0" fontId="3" fillId="0" borderId="65" xfId="0" applyFont="1" applyBorder="1" applyAlignment="1">
      <alignment horizontal="center" vertical="center" textRotation="90"/>
    </xf>
    <xf numFmtId="165" fontId="3" fillId="0" borderId="21" xfId="0" applyNumberFormat="1" applyFont="1" applyBorder="1" applyAlignment="1">
      <alignment horizontal="center" vertical="top"/>
    </xf>
    <xf numFmtId="165" fontId="3" fillId="2" borderId="78" xfId="0" applyNumberFormat="1" applyFont="1" applyFill="1" applyBorder="1" applyAlignment="1">
      <alignment horizontal="center" vertical="top"/>
    </xf>
    <xf numFmtId="3" fontId="3" fillId="6" borderId="47"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165" fontId="3" fillId="6" borderId="50" xfId="0" applyNumberFormat="1" applyFont="1" applyFill="1" applyBorder="1" applyAlignment="1">
      <alignment horizontal="center" vertical="top" wrapText="1"/>
    </xf>
    <xf numFmtId="3" fontId="3" fillId="6" borderId="15"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165" fontId="3" fillId="0" borderId="12" xfId="0" applyNumberFormat="1" applyFont="1" applyFill="1" applyBorder="1" applyAlignment="1">
      <alignment horizontal="center" vertical="top" wrapText="1"/>
    </xf>
    <xf numFmtId="1" fontId="3" fillId="6" borderId="15" xfId="0" applyNumberFormat="1" applyFont="1" applyFill="1" applyBorder="1" applyAlignment="1">
      <alignment horizontal="center" vertical="top" wrapText="1"/>
    </xf>
    <xf numFmtId="3" fontId="3" fillId="6" borderId="15" xfId="0" applyNumberFormat="1" applyFont="1" applyFill="1" applyBorder="1" applyAlignment="1">
      <alignment horizontal="center" wrapText="1"/>
    </xf>
    <xf numFmtId="164" fontId="2" fillId="6" borderId="19" xfId="0" applyNumberFormat="1" applyFont="1" applyFill="1" applyBorder="1" applyAlignment="1">
      <alignment horizontal="center" vertical="center" wrapText="1"/>
    </xf>
    <xf numFmtId="165" fontId="3" fillId="6" borderId="19" xfId="0" applyNumberFormat="1" applyFont="1" applyFill="1" applyBorder="1" applyAlignment="1">
      <alignment horizontal="center" vertical="top"/>
    </xf>
    <xf numFmtId="0" fontId="3" fillId="6" borderId="62" xfId="1" applyFont="1" applyFill="1" applyBorder="1" applyAlignment="1">
      <alignment vertical="top" wrapText="1"/>
    </xf>
    <xf numFmtId="165" fontId="3" fillId="6" borderId="90" xfId="0" applyNumberFormat="1" applyFont="1" applyFill="1" applyBorder="1" applyAlignment="1">
      <alignment horizontal="center" vertical="top"/>
    </xf>
    <xf numFmtId="0" fontId="3" fillId="0" borderId="9" xfId="0" applyFont="1" applyFill="1" applyBorder="1" applyAlignment="1">
      <alignment vertical="top" wrapText="1"/>
    </xf>
    <xf numFmtId="4" fontId="3" fillId="2" borderId="47"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58" xfId="0" applyNumberFormat="1" applyFont="1" applyFill="1" applyBorder="1" applyAlignment="1">
      <alignment horizontal="center" vertical="top"/>
    </xf>
    <xf numFmtId="165" fontId="3" fillId="6" borderId="52"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50" xfId="0" applyNumberFormat="1" applyFont="1" applyFill="1" applyBorder="1" applyAlignment="1">
      <alignment horizontal="center" vertical="center"/>
    </xf>
    <xf numFmtId="165" fontId="3" fillId="6" borderId="8" xfId="0" applyNumberFormat="1" applyFont="1" applyFill="1" applyBorder="1" applyAlignment="1">
      <alignment horizontal="center" vertical="center"/>
    </xf>
    <xf numFmtId="165" fontId="3" fillId="6" borderId="15" xfId="0" applyNumberFormat="1" applyFont="1" applyFill="1" applyBorder="1" applyAlignment="1">
      <alignment horizontal="center" vertical="center"/>
    </xf>
    <xf numFmtId="165" fontId="3" fillId="6" borderId="73" xfId="0" applyNumberFormat="1" applyFont="1" applyFill="1" applyBorder="1" applyAlignment="1">
      <alignment horizontal="center" vertical="top"/>
    </xf>
    <xf numFmtId="165" fontId="3" fillId="6" borderId="94" xfId="0" applyNumberFormat="1" applyFont="1" applyFill="1" applyBorder="1" applyAlignment="1">
      <alignment horizontal="center" vertical="top"/>
    </xf>
    <xf numFmtId="165" fontId="3" fillId="6" borderId="100"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5" xfId="0" applyNumberFormat="1" applyFont="1" applyFill="1" applyBorder="1" applyAlignment="1">
      <alignment horizontal="center" vertical="top"/>
    </xf>
    <xf numFmtId="165" fontId="5" fillId="8" borderId="59" xfId="0" applyNumberFormat="1" applyFont="1" applyFill="1" applyBorder="1" applyAlignment="1">
      <alignment horizontal="center" vertical="top"/>
    </xf>
    <xf numFmtId="165" fontId="3" fillId="6" borderId="67" xfId="0" applyNumberFormat="1" applyFont="1" applyFill="1" applyBorder="1" applyAlignment="1">
      <alignment horizontal="center" vertical="top"/>
    </xf>
    <xf numFmtId="165" fontId="3" fillId="6" borderId="8"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0" fontId="3" fillId="0" borderId="44" xfId="0" applyFont="1" applyBorder="1" applyAlignment="1">
      <alignment horizontal="center" vertical="center"/>
    </xf>
    <xf numFmtId="3" fontId="3" fillId="6" borderId="47" xfId="0" applyNumberFormat="1" applyFont="1" applyFill="1" applyBorder="1" applyAlignment="1">
      <alignment horizontal="center" vertical="top"/>
    </xf>
    <xf numFmtId="3" fontId="3" fillId="6" borderId="45" xfId="0" applyNumberFormat="1" applyFont="1" applyFill="1" applyBorder="1" applyAlignment="1">
      <alignment horizontal="center" vertical="top"/>
    </xf>
    <xf numFmtId="3" fontId="3" fillId="6" borderId="29" xfId="0" applyNumberFormat="1" applyFont="1" applyFill="1" applyBorder="1" applyAlignment="1">
      <alignment horizontal="center" vertical="top"/>
    </xf>
    <xf numFmtId="3" fontId="3" fillId="6" borderId="47" xfId="0" applyNumberFormat="1" applyFont="1" applyFill="1" applyBorder="1" applyAlignment="1">
      <alignment vertical="top" wrapText="1"/>
    </xf>
    <xf numFmtId="0" fontId="3" fillId="0" borderId="25" xfId="0" applyFont="1" applyBorder="1" applyAlignment="1">
      <alignment horizontal="center" vertical="center"/>
    </xf>
    <xf numFmtId="0" fontId="3" fillId="6" borderId="15" xfId="0" applyFont="1" applyFill="1" applyBorder="1" applyAlignment="1">
      <alignment horizontal="center" vertical="top"/>
    </xf>
    <xf numFmtId="0" fontId="3" fillId="6" borderId="75" xfId="0" applyFont="1" applyFill="1" applyBorder="1" applyAlignment="1">
      <alignment horizontal="center" vertical="center"/>
    </xf>
    <xf numFmtId="3" fontId="3" fillId="6" borderId="15"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3" fontId="3" fillId="6" borderId="31" xfId="0" applyNumberFormat="1" applyFont="1" applyFill="1" applyBorder="1" applyAlignment="1">
      <alignment horizontal="center" vertical="top"/>
    </xf>
    <xf numFmtId="165" fontId="5" fillId="8" borderId="32" xfId="0" applyNumberFormat="1" applyFont="1" applyFill="1" applyBorder="1" applyAlignment="1">
      <alignment horizontal="center" vertical="top"/>
    </xf>
    <xf numFmtId="165" fontId="5" fillId="3" borderId="57" xfId="0" applyNumberFormat="1" applyFont="1" applyFill="1" applyBorder="1" applyAlignment="1">
      <alignment horizontal="center" vertical="top"/>
    </xf>
    <xf numFmtId="3" fontId="3" fillId="6" borderId="43" xfId="0" applyNumberFormat="1" applyFont="1" applyFill="1" applyBorder="1" applyAlignment="1">
      <alignment horizontal="right" vertical="center"/>
    </xf>
    <xf numFmtId="0" fontId="5" fillId="9" borderId="60" xfId="0" applyFont="1" applyFill="1" applyBorder="1" applyAlignment="1">
      <alignment horizontal="left" vertical="top" wrapText="1"/>
    </xf>
    <xf numFmtId="165" fontId="3" fillId="2" borderId="37" xfId="0" applyNumberFormat="1" applyFont="1" applyFill="1" applyBorder="1" applyAlignment="1">
      <alignment horizontal="center" vertical="top"/>
    </xf>
    <xf numFmtId="165" fontId="20" fillId="8" borderId="59" xfId="0" applyNumberFormat="1" applyFont="1" applyFill="1" applyBorder="1" applyAlignment="1">
      <alignment horizontal="center" vertical="top"/>
    </xf>
    <xf numFmtId="0" fontId="3" fillId="6" borderId="43" xfId="0" applyFont="1" applyFill="1" applyBorder="1" applyAlignment="1">
      <alignment horizontal="center" vertical="top" wrapText="1"/>
    </xf>
    <xf numFmtId="3" fontId="3" fillId="6" borderId="75" xfId="0" applyNumberFormat="1" applyFont="1" applyFill="1" applyBorder="1" applyAlignment="1">
      <alignment horizontal="center" vertical="top"/>
    </xf>
    <xf numFmtId="3" fontId="3" fillId="6" borderId="24" xfId="0" applyNumberFormat="1" applyFont="1" applyFill="1" applyBorder="1" applyAlignment="1">
      <alignment horizontal="center" vertical="top"/>
    </xf>
    <xf numFmtId="165" fontId="20" fillId="8" borderId="32" xfId="0" applyNumberFormat="1" applyFont="1" applyFill="1" applyBorder="1" applyAlignment="1">
      <alignment horizontal="center" vertical="top"/>
    </xf>
    <xf numFmtId="165" fontId="20" fillId="8" borderId="23"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14" xfId="0" applyNumberFormat="1" applyFont="1" applyFill="1" applyBorder="1" applyAlignment="1">
      <alignment horizontal="center" vertical="top"/>
    </xf>
    <xf numFmtId="49" fontId="3" fillId="6" borderId="101"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3" fillId="6" borderId="15" xfId="0" applyFont="1" applyFill="1" applyBorder="1" applyAlignment="1">
      <alignment horizontal="center" vertical="top" wrapText="1"/>
    </xf>
    <xf numFmtId="0" fontId="3" fillId="6" borderId="31" xfId="0" applyFont="1" applyFill="1" applyBorder="1" applyAlignment="1">
      <alignment horizontal="center" vertical="top" wrapText="1"/>
    </xf>
    <xf numFmtId="0" fontId="3" fillId="6" borderId="29" xfId="0" applyFont="1" applyFill="1" applyBorder="1" applyAlignment="1">
      <alignment horizontal="center" vertical="top" wrapText="1"/>
    </xf>
    <xf numFmtId="3" fontId="5" fillId="6" borderId="26" xfId="0" applyNumberFormat="1" applyFont="1" applyFill="1" applyBorder="1" applyAlignment="1">
      <alignment horizontal="center" vertical="top" wrapText="1"/>
    </xf>
    <xf numFmtId="3" fontId="5" fillId="6" borderId="17"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1" fontId="3" fillId="6" borderId="75" xfId="0" applyNumberFormat="1" applyFont="1" applyFill="1" applyBorder="1" applyAlignment="1">
      <alignment horizontal="center" vertical="top" wrapText="1"/>
    </xf>
    <xf numFmtId="1" fontId="3" fillId="6" borderId="9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xf>
    <xf numFmtId="0" fontId="3" fillId="6" borderId="86" xfId="0" applyFont="1" applyFill="1" applyBorder="1" applyAlignment="1">
      <alignment horizontal="left" vertical="top" wrapText="1"/>
    </xf>
    <xf numFmtId="3" fontId="3" fillId="6" borderId="19" xfId="1" applyNumberFormat="1" applyFont="1" applyFill="1" applyBorder="1" applyAlignment="1">
      <alignment horizontal="center" vertical="top"/>
    </xf>
    <xf numFmtId="0" fontId="3" fillId="6" borderId="89" xfId="1" applyFont="1" applyFill="1" applyBorder="1" applyAlignment="1">
      <alignment vertical="top" wrapText="1"/>
    </xf>
    <xf numFmtId="3" fontId="3" fillId="6" borderId="91" xfId="1" applyNumberFormat="1" applyFont="1" applyFill="1" applyBorder="1" applyAlignment="1">
      <alignment horizontal="center" vertical="top"/>
    </xf>
    <xf numFmtId="0" fontId="3" fillId="6" borderId="73" xfId="0" applyFont="1" applyFill="1" applyBorder="1" applyAlignment="1">
      <alignment horizontal="center" vertical="top" wrapText="1"/>
    </xf>
    <xf numFmtId="0" fontId="3" fillId="6" borderId="83" xfId="0" applyFont="1" applyFill="1" applyBorder="1" applyAlignment="1">
      <alignment vertical="top" wrapText="1"/>
    </xf>
    <xf numFmtId="0" fontId="3" fillId="0" borderId="42" xfId="0" applyFont="1" applyBorder="1" applyAlignment="1">
      <alignment vertical="top"/>
    </xf>
    <xf numFmtId="0" fontId="3" fillId="0" borderId="1" xfId="0" applyFont="1" applyBorder="1" applyAlignment="1">
      <alignment vertical="top"/>
    </xf>
    <xf numFmtId="0" fontId="5" fillId="2" borderId="15" xfId="0" applyFont="1" applyFill="1" applyBorder="1" applyAlignment="1">
      <alignment horizontal="center" vertical="top" wrapText="1"/>
    </xf>
    <xf numFmtId="3" fontId="11" fillId="6" borderId="68" xfId="0" applyNumberFormat="1" applyFont="1" applyFill="1" applyBorder="1" applyAlignment="1">
      <alignment horizontal="center" vertical="top"/>
    </xf>
    <xf numFmtId="165" fontId="11" fillId="6" borderId="68" xfId="0" applyNumberFormat="1" applyFont="1" applyFill="1" applyBorder="1" applyAlignment="1">
      <alignment horizontal="center" vertical="top"/>
    </xf>
    <xf numFmtId="165" fontId="11" fillId="6" borderId="43" xfId="0" applyNumberFormat="1" applyFont="1" applyFill="1" applyBorder="1" applyAlignment="1">
      <alignment horizontal="center" vertical="top"/>
    </xf>
    <xf numFmtId="3" fontId="3" fillId="6" borderId="56" xfId="0" applyNumberFormat="1" applyFont="1" applyFill="1" applyBorder="1" applyAlignment="1">
      <alignment vertical="top" wrapText="1"/>
    </xf>
    <xf numFmtId="3" fontId="3" fillId="6" borderId="24" xfId="0" applyNumberFormat="1" applyFont="1" applyFill="1" applyBorder="1" applyAlignment="1">
      <alignment vertical="top" wrapText="1"/>
    </xf>
    <xf numFmtId="165" fontId="3" fillId="0" borderId="0" xfId="0" applyNumberFormat="1" applyFont="1" applyFill="1" applyAlignment="1">
      <alignment vertical="top"/>
    </xf>
    <xf numFmtId="3" fontId="3" fillId="6" borderId="30" xfId="0" applyNumberFormat="1" applyFont="1" applyFill="1" applyBorder="1" applyAlignment="1">
      <alignment horizontal="center" vertical="top"/>
    </xf>
    <xf numFmtId="49" fontId="5" fillId="6" borderId="44" xfId="0" applyNumberFormat="1" applyFont="1" applyFill="1" applyBorder="1" applyAlignment="1">
      <alignment horizontal="center" vertical="center"/>
    </xf>
    <xf numFmtId="0" fontId="5" fillId="6" borderId="12" xfId="0" applyFont="1" applyFill="1" applyBorder="1" applyAlignment="1">
      <alignment vertical="top" wrapText="1"/>
    </xf>
    <xf numFmtId="49" fontId="5" fillId="6" borderId="48" xfId="0" applyNumberFormat="1" applyFont="1" applyFill="1" applyBorder="1" applyAlignment="1">
      <alignment horizontal="center" vertical="top" wrapText="1"/>
    </xf>
    <xf numFmtId="0" fontId="7" fillId="6" borderId="15" xfId="0" applyFont="1" applyFill="1" applyBorder="1" applyAlignment="1">
      <alignment horizontal="center" vertical="top" wrapText="1"/>
    </xf>
    <xf numFmtId="49" fontId="5" fillId="6" borderId="31" xfId="0" applyNumberFormat="1" applyFont="1" applyFill="1" applyBorder="1" applyAlignment="1">
      <alignment vertical="top"/>
    </xf>
    <xf numFmtId="49" fontId="5" fillId="6" borderId="18"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28" xfId="0" applyFont="1" applyFill="1" applyBorder="1" applyAlignment="1">
      <alignment vertical="top" wrapText="1"/>
    </xf>
    <xf numFmtId="0" fontId="3" fillId="6" borderId="10" xfId="0" applyFont="1" applyFill="1" applyBorder="1" applyAlignment="1">
      <alignment vertical="top" wrapText="1"/>
    </xf>
    <xf numFmtId="0" fontId="5" fillId="6" borderId="64" xfId="0" applyFont="1" applyFill="1" applyBorder="1" applyAlignment="1">
      <alignment horizontal="center" vertical="center" wrapText="1"/>
    </xf>
    <xf numFmtId="49" fontId="3" fillId="0" borderId="33" xfId="0" applyNumberFormat="1" applyFont="1" applyBorder="1" applyAlignment="1">
      <alignment horizontal="center" vertical="center" wrapText="1"/>
    </xf>
    <xf numFmtId="0" fontId="3" fillId="3" borderId="61" xfId="0" applyFont="1" applyFill="1" applyBorder="1" applyAlignment="1">
      <alignment horizontal="center" vertical="top" wrapText="1"/>
    </xf>
    <xf numFmtId="49" fontId="5" fillId="0" borderId="17" xfId="0" applyNumberFormat="1" applyFont="1" applyBorder="1" applyAlignment="1">
      <alignment horizontal="center" vertical="top"/>
    </xf>
    <xf numFmtId="0" fontId="5" fillId="3" borderId="61" xfId="0" applyFont="1" applyFill="1" applyBorder="1" applyAlignment="1">
      <alignment horizontal="left" vertical="top" wrapText="1"/>
    </xf>
    <xf numFmtId="49" fontId="5" fillId="3" borderId="25" xfId="0" applyNumberFormat="1" applyFont="1" applyFill="1" applyBorder="1" applyAlignment="1">
      <alignment horizontal="center" vertical="top" wrapText="1"/>
    </xf>
    <xf numFmtId="49" fontId="5" fillId="6" borderId="25" xfId="0" applyNumberFormat="1" applyFont="1" applyFill="1" applyBorder="1" applyAlignment="1">
      <alignment horizontal="center" vertical="top" wrapText="1"/>
    </xf>
    <xf numFmtId="3" fontId="3" fillId="0" borderId="25" xfId="0" applyNumberFormat="1" applyFont="1" applyFill="1" applyBorder="1" applyAlignment="1">
      <alignment horizontal="center" vertical="top"/>
    </xf>
    <xf numFmtId="49" fontId="5" fillId="9" borderId="47" xfId="0" applyNumberFormat="1" applyFont="1" applyFill="1" applyBorder="1" applyAlignment="1">
      <alignment horizontal="center" vertical="top"/>
    </xf>
    <xf numFmtId="49" fontId="5" fillId="6" borderId="44" xfId="0" applyNumberFormat="1" applyFont="1" applyFill="1" applyBorder="1" applyAlignment="1">
      <alignment horizontal="center" vertical="top"/>
    </xf>
    <xf numFmtId="0" fontId="21" fillId="6" borderId="32" xfId="0" applyFont="1" applyFill="1" applyBorder="1" applyAlignment="1">
      <alignment vertical="top" wrapText="1"/>
    </xf>
    <xf numFmtId="0" fontId="5" fillId="0" borderId="22" xfId="0" applyFont="1" applyBorder="1" applyAlignment="1">
      <alignment horizontal="center" vertical="center" wrapText="1"/>
    </xf>
    <xf numFmtId="49" fontId="3" fillId="6" borderId="92" xfId="0" applyNumberFormat="1" applyFont="1" applyFill="1" applyBorder="1" applyAlignment="1">
      <alignment horizontal="center" vertical="top" wrapText="1"/>
    </xf>
    <xf numFmtId="1" fontId="3" fillId="6" borderId="84" xfId="0" applyNumberFormat="1" applyFont="1" applyFill="1" applyBorder="1" applyAlignment="1">
      <alignment horizontal="center" vertical="top" wrapText="1"/>
    </xf>
    <xf numFmtId="165" fontId="3" fillId="0" borderId="0" xfId="0" applyNumberFormat="1" applyFont="1" applyBorder="1" applyAlignment="1">
      <alignment vertical="top"/>
    </xf>
    <xf numFmtId="165" fontId="3" fillId="6" borderId="31" xfId="0" applyNumberFormat="1" applyFont="1" applyFill="1" applyBorder="1" applyAlignment="1">
      <alignment horizontal="center" vertical="top" wrapText="1"/>
    </xf>
    <xf numFmtId="49" fontId="3" fillId="6" borderId="77" xfId="0" applyNumberFormat="1" applyFont="1" applyFill="1" applyBorder="1" applyAlignment="1">
      <alignment horizontal="center" vertical="top" wrapText="1"/>
    </xf>
    <xf numFmtId="49" fontId="3" fillId="6" borderId="78" xfId="0" applyNumberFormat="1" applyFont="1" applyFill="1" applyBorder="1" applyAlignment="1">
      <alignment horizontal="center" vertical="top" wrapText="1"/>
    </xf>
    <xf numFmtId="49" fontId="3" fillId="6" borderId="71" xfId="0" applyNumberFormat="1" applyFont="1" applyFill="1" applyBorder="1" applyAlignment="1">
      <alignment horizontal="center" vertical="top" wrapText="1"/>
    </xf>
    <xf numFmtId="0" fontId="2" fillId="6" borderId="15" xfId="0" applyFont="1" applyFill="1" applyBorder="1" applyAlignment="1">
      <alignment horizontal="center" vertical="center" textRotation="90"/>
    </xf>
    <xf numFmtId="0" fontId="2" fillId="6" borderId="25" xfId="0" applyFont="1" applyFill="1" applyBorder="1" applyAlignment="1">
      <alignment horizontal="center" vertical="center" textRotation="90"/>
    </xf>
    <xf numFmtId="3" fontId="3" fillId="6" borderId="92" xfId="1" applyNumberFormat="1" applyFont="1" applyFill="1" applyBorder="1" applyAlignment="1">
      <alignment horizontal="center" vertical="top"/>
    </xf>
    <xf numFmtId="0" fontId="3" fillId="6" borderId="44"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92" xfId="0" applyFont="1" applyFill="1" applyBorder="1" applyAlignment="1">
      <alignment horizontal="center" vertical="center"/>
    </xf>
    <xf numFmtId="165" fontId="5" fillId="3" borderId="4" xfId="0" applyNumberFormat="1" applyFont="1" applyFill="1" applyBorder="1" applyAlignment="1">
      <alignment horizontal="center" vertical="top"/>
    </xf>
    <xf numFmtId="0" fontId="3" fillId="6" borderId="68" xfId="0" applyFont="1" applyFill="1" applyBorder="1" applyAlignment="1">
      <alignment vertical="top" wrapText="1"/>
    </xf>
    <xf numFmtId="49" fontId="3" fillId="6" borderId="4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xf>
    <xf numFmtId="49" fontId="3" fillId="6" borderId="47"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xf>
    <xf numFmtId="3" fontId="11" fillId="6" borderId="56" xfId="0" applyNumberFormat="1" applyFont="1" applyFill="1" applyBorder="1" applyAlignment="1">
      <alignment horizontal="center" vertical="top"/>
    </xf>
    <xf numFmtId="165" fontId="11" fillId="6" borderId="25" xfId="0" applyNumberFormat="1" applyFont="1" applyFill="1" applyBorder="1" applyAlignment="1">
      <alignment horizontal="center" vertical="top"/>
    </xf>
    <xf numFmtId="165" fontId="3" fillId="6" borderId="8" xfId="0" applyNumberFormat="1" applyFont="1" applyFill="1" applyBorder="1" applyAlignment="1">
      <alignment horizontal="center" vertical="top"/>
    </xf>
    <xf numFmtId="0" fontId="5" fillId="6" borderId="36"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0" fontId="3" fillId="3" borderId="60" xfId="0" applyFont="1" applyFill="1" applyBorder="1" applyAlignment="1">
      <alignment horizontal="center" vertical="top" wrapText="1"/>
    </xf>
    <xf numFmtId="49" fontId="5" fillId="3" borderId="15" xfId="0" applyNumberFormat="1" applyFont="1" applyFill="1" applyBorder="1" applyAlignment="1">
      <alignment horizontal="center" vertical="top" wrapText="1"/>
    </xf>
    <xf numFmtId="49" fontId="5" fillId="3" borderId="23" xfId="0" applyNumberFormat="1" applyFont="1" applyFill="1" applyBorder="1" applyAlignment="1">
      <alignment horizontal="center" vertical="top"/>
    </xf>
    <xf numFmtId="0" fontId="5" fillId="3" borderId="60" xfId="0" applyFont="1" applyFill="1" applyBorder="1" applyAlignment="1">
      <alignment horizontal="left" vertical="top" wrapText="1"/>
    </xf>
    <xf numFmtId="0" fontId="3" fillId="2" borderId="9" xfId="0"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0" fontId="5" fillId="2" borderId="17" xfId="0" applyFont="1" applyFill="1" applyBorder="1" applyAlignment="1">
      <alignment horizontal="center" vertical="top" wrapText="1"/>
    </xf>
    <xf numFmtId="49" fontId="5" fillId="10" borderId="9"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1" xfId="0" applyNumberFormat="1" applyFont="1" applyFill="1" applyBorder="1" applyAlignment="1">
      <alignment horizontal="center" vertical="top"/>
    </xf>
    <xf numFmtId="165" fontId="3" fillId="6" borderId="25" xfId="0" applyNumberFormat="1" applyFont="1" applyFill="1" applyBorder="1" applyAlignment="1">
      <alignment vertical="top"/>
    </xf>
    <xf numFmtId="165" fontId="3" fillId="6" borderId="26" xfId="0" applyNumberFormat="1" applyFont="1" applyFill="1" applyBorder="1" applyAlignment="1">
      <alignment vertical="top"/>
    </xf>
    <xf numFmtId="165" fontId="3" fillId="6" borderId="17" xfId="0" applyNumberFormat="1" applyFont="1" applyFill="1" applyBorder="1" applyAlignment="1">
      <alignment vertical="top"/>
    </xf>
    <xf numFmtId="0" fontId="5" fillId="2" borderId="31" xfId="0" applyFont="1" applyFill="1" applyBorder="1" applyAlignment="1">
      <alignment horizontal="center" vertical="top" wrapText="1"/>
    </xf>
    <xf numFmtId="0" fontId="3" fillId="6" borderId="75" xfId="0" applyFont="1" applyFill="1" applyBorder="1" applyAlignment="1">
      <alignment vertical="top" wrapText="1"/>
    </xf>
    <xf numFmtId="0" fontId="3" fillId="6" borderId="2" xfId="0" applyFont="1" applyFill="1" applyBorder="1" applyAlignment="1">
      <alignment vertical="top" wrapText="1"/>
    </xf>
    <xf numFmtId="0" fontId="3" fillId="6" borderId="21" xfId="0" applyFont="1" applyFill="1" applyBorder="1" applyAlignment="1">
      <alignment horizontal="center" vertical="top" wrapText="1"/>
    </xf>
    <xf numFmtId="165" fontId="3" fillId="6" borderId="15" xfId="0" applyNumberFormat="1" applyFont="1" applyFill="1" applyBorder="1" applyAlignment="1">
      <alignment horizontal="center" vertical="top" wrapText="1"/>
    </xf>
    <xf numFmtId="0" fontId="3" fillId="6" borderId="28" xfId="1" applyFont="1" applyFill="1" applyBorder="1" applyAlignment="1">
      <alignment vertical="top" wrapText="1"/>
    </xf>
    <xf numFmtId="165" fontId="3" fillId="2" borderId="108" xfId="0" applyNumberFormat="1" applyFont="1" applyFill="1" applyBorder="1" applyAlignment="1">
      <alignment horizontal="center" vertical="top"/>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0" xfId="0" applyNumberFormat="1" applyFont="1" applyFill="1" applyBorder="1" applyAlignment="1">
      <alignment horizontal="center" vertical="top"/>
    </xf>
    <xf numFmtId="49" fontId="5" fillId="6" borderId="24" xfId="0" applyNumberFormat="1" applyFont="1" applyFill="1" applyBorder="1" applyAlignment="1">
      <alignment horizontal="center" vertical="top" wrapText="1"/>
    </xf>
    <xf numFmtId="0" fontId="21" fillId="2" borderId="9" xfId="0" applyFont="1" applyFill="1" applyBorder="1" applyAlignment="1">
      <alignment horizontal="left" vertical="top" wrapText="1"/>
    </xf>
    <xf numFmtId="49" fontId="3" fillId="6" borderId="95" xfId="0" applyNumberFormat="1" applyFont="1" applyFill="1" applyBorder="1" applyAlignment="1">
      <alignment horizontal="center" vertical="top" wrapText="1"/>
    </xf>
    <xf numFmtId="3" fontId="3" fillId="6" borderId="75" xfId="1" applyNumberFormat="1" applyFont="1" applyFill="1" applyBorder="1" applyAlignment="1">
      <alignment horizontal="center" vertical="top"/>
    </xf>
    <xf numFmtId="3" fontId="5" fillId="6" borderId="47" xfId="0" applyNumberFormat="1" applyFont="1" applyFill="1" applyBorder="1" applyAlignment="1">
      <alignment horizontal="center" vertical="top" wrapText="1"/>
    </xf>
    <xf numFmtId="0" fontId="3" fillId="6" borderId="81" xfId="0" applyFont="1" applyFill="1" applyBorder="1" applyAlignment="1">
      <alignment horizontal="center" vertical="center"/>
    </xf>
    <xf numFmtId="0" fontId="3" fillId="6" borderId="9" xfId="0" applyFont="1" applyFill="1" applyBorder="1" applyAlignment="1">
      <alignment vertical="top"/>
    </xf>
    <xf numFmtId="0" fontId="3" fillId="6" borderId="91" xfId="0" applyFont="1" applyFill="1" applyBorder="1" applyAlignment="1">
      <alignment vertical="top" wrapText="1"/>
    </xf>
    <xf numFmtId="0" fontId="3" fillId="6" borderId="17" xfId="0" applyFont="1" applyFill="1" applyBorder="1" applyAlignment="1">
      <alignment vertical="top"/>
    </xf>
    <xf numFmtId="165" fontId="5" fillId="0" borderId="0" xfId="0" applyNumberFormat="1" applyFont="1" applyAlignment="1">
      <alignment horizontal="left" vertical="top"/>
    </xf>
    <xf numFmtId="165" fontId="5" fillId="10" borderId="22"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49" fontId="5" fillId="8" borderId="56" xfId="0" applyNumberFormat="1" applyFont="1" applyFill="1" applyBorder="1" applyAlignment="1">
      <alignment horizontal="center" vertical="top" wrapText="1"/>
    </xf>
    <xf numFmtId="0" fontId="3" fillId="8" borderId="37" xfId="0" applyFont="1" applyFill="1" applyBorder="1" applyAlignment="1">
      <alignment horizontal="left" vertical="top" wrapText="1"/>
    </xf>
    <xf numFmtId="49" fontId="3" fillId="8" borderId="27" xfId="0" applyNumberFormat="1" applyFont="1" applyFill="1" applyBorder="1" applyAlignment="1">
      <alignment horizontal="center" vertical="top" wrapText="1"/>
    </xf>
    <xf numFmtId="49" fontId="5" fillId="8" borderId="109" xfId="0" applyNumberFormat="1" applyFont="1" applyFill="1" applyBorder="1" applyAlignment="1">
      <alignment horizontal="center" vertical="top" wrapText="1"/>
    </xf>
    <xf numFmtId="0" fontId="3" fillId="8" borderId="109" xfId="0" applyFont="1" applyFill="1" applyBorder="1" applyAlignment="1">
      <alignment vertical="top" wrapText="1"/>
    </xf>
    <xf numFmtId="0" fontId="5" fillId="8" borderId="109" xfId="0" applyFont="1" applyFill="1" applyBorder="1" applyAlignment="1">
      <alignment horizontal="center" vertical="top" wrapText="1"/>
    </xf>
    <xf numFmtId="49" fontId="5" fillId="8" borderId="109" xfId="0" applyNumberFormat="1" applyFont="1" applyFill="1" applyBorder="1" applyAlignment="1">
      <alignment horizontal="center" vertical="top"/>
    </xf>
    <xf numFmtId="49" fontId="5" fillId="8" borderId="47"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09" xfId="0" applyNumberFormat="1" applyFont="1" applyFill="1" applyBorder="1" applyAlignment="1">
      <alignment horizontal="center" vertical="top"/>
    </xf>
    <xf numFmtId="49" fontId="5" fillId="8" borderId="25" xfId="0" applyNumberFormat="1" applyFont="1" applyFill="1" applyBorder="1" applyAlignment="1">
      <alignment horizontal="center" vertical="top" wrapText="1"/>
    </xf>
    <xf numFmtId="0" fontId="5" fillId="8" borderId="27" xfId="0" applyFont="1" applyFill="1" applyBorder="1" applyAlignment="1">
      <alignment horizontal="center" vertical="top" wrapText="1"/>
    </xf>
    <xf numFmtId="49" fontId="5" fillId="8" borderId="27" xfId="0" applyNumberFormat="1" applyFont="1" applyFill="1" applyBorder="1" applyAlignment="1">
      <alignment horizontal="center" vertical="top"/>
    </xf>
    <xf numFmtId="0" fontId="3" fillId="8" borderId="27" xfId="0" applyFont="1" applyFill="1" applyBorder="1" applyAlignment="1">
      <alignment vertical="top" wrapText="1"/>
    </xf>
    <xf numFmtId="0" fontId="7" fillId="6" borderId="31" xfId="0" applyFont="1" applyFill="1" applyBorder="1" applyAlignment="1">
      <alignment vertical="top" wrapText="1"/>
    </xf>
    <xf numFmtId="49" fontId="5" fillId="8" borderId="44"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0" fontId="3" fillId="0" borderId="67" xfId="0" applyFont="1" applyFill="1" applyBorder="1" applyAlignment="1">
      <alignment vertical="top" wrapText="1"/>
    </xf>
    <xf numFmtId="3" fontId="3" fillId="6" borderId="34"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3" fontId="3" fillId="0" borderId="91" xfId="0" applyNumberFormat="1" applyFont="1" applyFill="1" applyBorder="1" applyAlignment="1">
      <alignment horizontal="center" vertical="top" wrapText="1"/>
    </xf>
    <xf numFmtId="3" fontId="3" fillId="0" borderId="72" xfId="0" applyNumberFormat="1" applyFont="1" applyFill="1" applyBorder="1" applyAlignment="1">
      <alignment horizontal="center" vertical="top" wrapText="1"/>
    </xf>
    <xf numFmtId="49" fontId="3" fillId="6" borderId="104" xfId="0" applyNumberFormat="1" applyFont="1" applyFill="1" applyBorder="1" applyAlignment="1">
      <alignment horizontal="center" vertical="top" wrapText="1"/>
    </xf>
    <xf numFmtId="49" fontId="3" fillId="6" borderId="93" xfId="0" applyNumberFormat="1" applyFont="1" applyFill="1" applyBorder="1" applyAlignment="1">
      <alignment horizontal="center" vertical="top" wrapText="1"/>
    </xf>
    <xf numFmtId="49" fontId="3" fillId="6" borderId="17" xfId="0" applyNumberFormat="1" applyFont="1" applyFill="1" applyBorder="1" applyAlignment="1">
      <alignment horizontal="center" vertical="top" wrapText="1"/>
    </xf>
    <xf numFmtId="0" fontId="25" fillId="6" borderId="88"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0" fontId="3" fillId="6" borderId="54" xfId="0" applyFont="1" applyFill="1" applyBorder="1" applyAlignment="1">
      <alignment vertical="top" wrapText="1"/>
    </xf>
    <xf numFmtId="0" fontId="3" fillId="6" borderId="37" xfId="0" applyFont="1" applyFill="1" applyBorder="1" applyAlignment="1">
      <alignment vertical="top" wrapText="1"/>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6" borderId="77" xfId="1" applyNumberFormat="1" applyFont="1" applyFill="1" applyBorder="1" applyAlignment="1">
      <alignment horizontal="center" vertical="top"/>
    </xf>
    <xf numFmtId="49" fontId="15" fillId="10" borderId="32" xfId="0" applyNumberFormat="1" applyFont="1" applyFill="1" applyBorder="1" applyAlignment="1">
      <alignment horizontal="center" vertical="top"/>
    </xf>
    <xf numFmtId="49" fontId="15" fillId="9" borderId="23" xfId="0" applyNumberFormat="1" applyFont="1" applyFill="1" applyBorder="1" applyAlignment="1">
      <alignment horizontal="center" vertical="top"/>
    </xf>
    <xf numFmtId="3" fontId="11" fillId="6" borderId="56" xfId="0" applyNumberFormat="1" applyFont="1" applyFill="1" applyBorder="1" applyAlignment="1">
      <alignment horizontal="left" vertical="top" wrapText="1"/>
    </xf>
    <xf numFmtId="3" fontId="3" fillId="6" borderId="23" xfId="0" applyNumberFormat="1" applyFont="1" applyFill="1" applyBorder="1" applyAlignment="1">
      <alignment horizontal="left" vertical="top" wrapText="1"/>
    </xf>
    <xf numFmtId="3" fontId="5" fillId="6" borderId="27" xfId="0" applyNumberFormat="1" applyFont="1" applyFill="1" applyBorder="1" applyAlignment="1">
      <alignment horizontal="center" vertical="top" wrapText="1"/>
    </xf>
    <xf numFmtId="49" fontId="15" fillId="6" borderId="27" xfId="0" applyNumberFormat="1" applyFont="1" applyFill="1" applyBorder="1" applyAlignment="1">
      <alignment horizontal="center" vertical="top"/>
    </xf>
    <xf numFmtId="165" fontId="3" fillId="6" borderId="19" xfId="1" applyNumberFormat="1" applyFont="1" applyFill="1" applyBorder="1" applyAlignment="1">
      <alignment horizontal="center" vertical="top" wrapText="1"/>
    </xf>
    <xf numFmtId="1" fontId="3" fillId="6" borderId="15" xfId="1" applyNumberFormat="1" applyFont="1" applyFill="1" applyBorder="1" applyAlignment="1">
      <alignment horizontal="center" vertical="top" wrapText="1"/>
    </xf>
    <xf numFmtId="3" fontId="3" fillId="6" borderId="15" xfId="1" applyNumberFormat="1" applyFont="1" applyFill="1" applyBorder="1" applyAlignment="1">
      <alignment horizontal="center" vertical="top" wrapText="1"/>
    </xf>
    <xf numFmtId="0" fontId="3" fillId="6" borderId="42" xfId="1" applyFont="1" applyFill="1" applyBorder="1" applyAlignment="1">
      <alignment horizontal="left" vertical="top" wrapText="1"/>
    </xf>
    <xf numFmtId="0" fontId="3" fillId="6" borderId="9" xfId="1" applyFont="1" applyFill="1" applyBorder="1" applyAlignment="1">
      <alignment horizontal="left" vertical="top" wrapText="1"/>
    </xf>
    <xf numFmtId="3" fontId="3" fillId="6" borderId="91" xfId="1" applyNumberFormat="1" applyFont="1" applyFill="1" applyBorder="1" applyAlignment="1">
      <alignment horizontal="center" vertical="top" wrapText="1"/>
    </xf>
    <xf numFmtId="165" fontId="3" fillId="6" borderId="45"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5" xfId="0" applyNumberFormat="1" applyFont="1" applyFill="1" applyBorder="1" applyAlignment="1">
      <alignment horizontal="center" vertical="top" wrapText="1"/>
    </xf>
    <xf numFmtId="165" fontId="3" fillId="6" borderId="72" xfId="0" applyNumberFormat="1" applyFont="1" applyFill="1" applyBorder="1" applyAlignment="1">
      <alignment horizontal="center" vertical="top" wrapText="1"/>
    </xf>
    <xf numFmtId="0" fontId="21" fillId="6" borderId="28" xfId="0" applyFont="1" applyFill="1" applyBorder="1" applyAlignment="1">
      <alignment vertical="top" wrapText="1"/>
    </xf>
    <xf numFmtId="49" fontId="5" fillId="8" borderId="47"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0" borderId="95" xfId="0" applyFont="1" applyFill="1" applyBorder="1" applyAlignment="1">
      <alignment horizontal="center" vertical="center"/>
    </xf>
    <xf numFmtId="0" fontId="3" fillId="0" borderId="72" xfId="0" applyFont="1" applyFill="1" applyBorder="1" applyAlignment="1">
      <alignment horizontal="center" vertical="center"/>
    </xf>
    <xf numFmtId="0" fontId="3" fillId="6" borderId="86" xfId="0" applyFont="1" applyFill="1" applyBorder="1" applyAlignment="1">
      <alignment vertical="top" wrapText="1"/>
    </xf>
    <xf numFmtId="165" fontId="3" fillId="0" borderId="9" xfId="0" applyNumberFormat="1" applyFont="1" applyFill="1" applyBorder="1" applyAlignment="1">
      <alignment horizontal="center" vertical="top"/>
    </xf>
    <xf numFmtId="3" fontId="3" fillId="6" borderId="103"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0" fontId="3" fillId="6" borderId="94" xfId="0" applyFont="1" applyFill="1" applyBorder="1" applyAlignment="1">
      <alignment horizontal="center" vertical="top" wrapText="1"/>
    </xf>
    <xf numFmtId="0" fontId="3" fillId="12" borderId="19" xfId="0" applyFont="1" applyFill="1" applyBorder="1" applyAlignment="1">
      <alignment horizontal="center" vertical="top"/>
    </xf>
    <xf numFmtId="0" fontId="3" fillId="12" borderId="15" xfId="0" applyFont="1" applyFill="1" applyBorder="1" applyAlignment="1">
      <alignment horizontal="center" vertical="top"/>
    </xf>
    <xf numFmtId="0" fontId="3" fillId="12" borderId="31" xfId="0" applyFont="1" applyFill="1" applyBorder="1" applyAlignment="1">
      <alignment horizontal="center" vertical="top" wrapText="1"/>
    </xf>
    <xf numFmtId="0" fontId="3" fillId="6" borderId="74" xfId="1" applyFont="1" applyFill="1" applyBorder="1" applyAlignment="1">
      <alignment horizontal="left" vertical="top" wrapText="1"/>
    </xf>
    <xf numFmtId="1" fontId="3" fillId="6" borderId="75" xfId="1" applyNumberFormat="1" applyFont="1" applyFill="1" applyBorder="1" applyAlignment="1">
      <alignment horizontal="center" vertical="top" wrapText="1"/>
    </xf>
    <xf numFmtId="3" fontId="3" fillId="6" borderId="75" xfId="1" applyNumberFormat="1" applyFont="1" applyFill="1" applyBorder="1" applyAlignment="1">
      <alignment horizontal="center" vertical="top" wrapText="1"/>
    </xf>
    <xf numFmtId="3" fontId="5" fillId="10" borderId="9" xfId="0" applyNumberFormat="1" applyFont="1" applyFill="1" applyBorder="1" applyAlignment="1">
      <alignment vertical="top"/>
    </xf>
    <xf numFmtId="3" fontId="5" fillId="3" borderId="15" xfId="0" applyNumberFormat="1" applyFont="1" applyFill="1" applyBorder="1" applyAlignment="1">
      <alignment vertical="top"/>
    </xf>
    <xf numFmtId="3" fontId="5" fillId="8" borderId="15" xfId="0" applyNumberFormat="1" applyFont="1" applyFill="1" applyBorder="1" applyAlignment="1">
      <alignment vertical="top"/>
    </xf>
    <xf numFmtId="49" fontId="5" fillId="6" borderId="15" xfId="0" applyNumberFormat="1" applyFont="1" applyFill="1" applyBorder="1" applyAlignment="1">
      <alignment horizontal="center" vertical="center"/>
    </xf>
    <xf numFmtId="165" fontId="5" fillId="8" borderId="27"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5" fillId="3" borderId="53" xfId="0" applyNumberFormat="1" applyFont="1" applyFill="1" applyBorder="1" applyAlignment="1">
      <alignment horizontal="center" vertical="top"/>
    </xf>
    <xf numFmtId="0" fontId="3" fillId="6" borderId="99" xfId="0" applyFont="1" applyFill="1" applyBorder="1" applyAlignment="1">
      <alignment horizontal="center" vertical="center"/>
    </xf>
    <xf numFmtId="0" fontId="3" fillId="6" borderId="93" xfId="0" applyFont="1" applyFill="1" applyBorder="1" applyAlignment="1">
      <alignment horizontal="center" vertical="center"/>
    </xf>
    <xf numFmtId="49" fontId="5" fillId="2" borderId="31" xfId="0" applyNumberFormat="1" applyFont="1" applyFill="1" applyBorder="1" applyAlignment="1">
      <alignment horizontal="center" vertical="top" wrapText="1"/>
    </xf>
    <xf numFmtId="0" fontId="5" fillId="2" borderId="31" xfId="0" applyFont="1" applyFill="1" applyBorder="1" applyAlignment="1">
      <alignment horizontal="left" vertical="top" wrapText="1"/>
    </xf>
    <xf numFmtId="0" fontId="3" fillId="0" borderId="21" xfId="0" applyFont="1" applyBorder="1" applyAlignment="1">
      <alignment horizontal="center" vertical="top" wrapText="1"/>
    </xf>
    <xf numFmtId="3" fontId="3" fillId="2" borderId="28" xfId="0" applyNumberFormat="1" applyFont="1" applyFill="1" applyBorder="1" applyAlignment="1">
      <alignment horizontal="right" vertical="top"/>
    </xf>
    <xf numFmtId="3" fontId="3" fillId="2" borderId="62" xfId="0" applyNumberFormat="1" applyFont="1" applyFill="1" applyBorder="1" applyAlignment="1">
      <alignment horizontal="right" vertical="top"/>
    </xf>
    <xf numFmtId="165" fontId="3" fillId="6" borderId="31" xfId="0" applyNumberFormat="1" applyFont="1" applyFill="1" applyBorder="1" applyAlignment="1">
      <alignment vertical="top"/>
    </xf>
    <xf numFmtId="3" fontId="3" fillId="6" borderId="31" xfId="1" applyNumberFormat="1" applyFont="1" applyFill="1" applyBorder="1" applyAlignment="1">
      <alignment horizontal="center" vertical="top" wrapText="1"/>
    </xf>
    <xf numFmtId="1" fontId="3" fillId="6" borderId="47" xfId="0" applyNumberFormat="1" applyFont="1" applyFill="1" applyBorder="1" applyAlignment="1">
      <alignment horizontal="center" vertical="top" wrapText="1"/>
    </xf>
    <xf numFmtId="3" fontId="3" fillId="6" borderId="104"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50" xfId="0" applyFont="1" applyFill="1" applyBorder="1" applyAlignment="1">
      <alignment horizontal="center" vertical="top"/>
    </xf>
    <xf numFmtId="49" fontId="5" fillId="6" borderId="47" xfId="0" applyNumberFormat="1" applyFont="1" applyFill="1" applyBorder="1" applyAlignment="1">
      <alignment horizontal="center" vertical="top" wrapText="1"/>
    </xf>
    <xf numFmtId="0" fontId="3" fillId="6" borderId="74" xfId="1" applyFont="1" applyFill="1" applyBorder="1" applyAlignment="1">
      <alignment vertical="top" wrapText="1"/>
    </xf>
    <xf numFmtId="0" fontId="5" fillId="6" borderId="19" xfId="0" applyFont="1" applyFill="1" applyBorder="1" applyAlignment="1">
      <alignment horizontal="center" vertical="center"/>
    </xf>
    <xf numFmtId="1" fontId="3" fillId="6" borderId="107" xfId="0" applyNumberFormat="1" applyFont="1" applyFill="1" applyBorder="1" applyAlignment="1">
      <alignment horizontal="center" vertical="top" wrapText="1"/>
    </xf>
    <xf numFmtId="1" fontId="3" fillId="6" borderId="85"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49" fontId="3" fillId="0" borderId="0" xfId="0" applyNumberFormat="1" applyFont="1" applyFill="1" applyAlignment="1">
      <alignment vertical="top"/>
    </xf>
    <xf numFmtId="0" fontId="0" fillId="0" borderId="0" xfId="0" applyFill="1" applyAlignment="1">
      <alignment horizontal="left" vertical="top" wrapText="1"/>
    </xf>
    <xf numFmtId="3" fontId="3" fillId="6" borderId="84" xfId="1" applyNumberFormat="1" applyFont="1" applyFill="1" applyBorder="1" applyAlignment="1">
      <alignment horizontal="center" vertical="top"/>
    </xf>
    <xf numFmtId="0" fontId="19" fillId="6" borderId="15" xfId="0" applyFont="1" applyFill="1" applyBorder="1" applyAlignment="1">
      <alignment horizontal="left" vertical="top" wrapText="1"/>
    </xf>
    <xf numFmtId="0" fontId="3" fillId="6" borderId="37" xfId="1" applyFont="1" applyFill="1" applyBorder="1" applyAlignment="1">
      <alignment vertical="top" wrapText="1"/>
    </xf>
    <xf numFmtId="0" fontId="3" fillId="12" borderId="15" xfId="0" applyFont="1" applyFill="1" applyBorder="1" applyAlignment="1">
      <alignment horizontal="center" vertical="top" wrapText="1"/>
    </xf>
    <xf numFmtId="0" fontId="3" fillId="0" borderId="15" xfId="0" applyFont="1" applyBorder="1" applyAlignment="1">
      <alignment vertical="top"/>
    </xf>
    <xf numFmtId="0" fontId="3" fillId="0" borderId="17" xfId="0" applyFont="1" applyBorder="1" applyAlignment="1">
      <alignment vertical="top"/>
    </xf>
    <xf numFmtId="165" fontId="3" fillId="6" borderId="46" xfId="0" applyNumberFormat="1" applyFont="1" applyFill="1" applyBorder="1" applyAlignment="1">
      <alignment vertical="top"/>
    </xf>
    <xf numFmtId="165" fontId="3" fillId="6" borderId="30" xfId="0" applyNumberFormat="1" applyFont="1" applyFill="1" applyBorder="1" applyAlignment="1">
      <alignment vertical="top"/>
    </xf>
    <xf numFmtId="3" fontId="5" fillId="6" borderId="15" xfId="0" applyNumberFormat="1" applyFont="1" applyFill="1" applyBorder="1" applyAlignment="1">
      <alignment vertical="top"/>
    </xf>
    <xf numFmtId="0" fontId="3" fillId="6" borderId="14" xfId="0" applyFont="1" applyFill="1" applyBorder="1" applyAlignment="1">
      <alignment horizontal="left" vertical="top" wrapText="1"/>
    </xf>
    <xf numFmtId="3" fontId="11" fillId="6" borderId="62" xfId="0" applyNumberFormat="1" applyFont="1" applyFill="1" applyBorder="1" applyAlignment="1">
      <alignment horizontal="center" vertical="top"/>
    </xf>
    <xf numFmtId="165" fontId="11" fillId="6" borderId="21" xfId="0" applyNumberFormat="1" applyFont="1" applyFill="1" applyBorder="1" applyAlignment="1">
      <alignment horizontal="center" vertical="top"/>
    </xf>
    <xf numFmtId="4" fontId="3" fillId="2" borderId="17" xfId="0" applyNumberFormat="1" applyFont="1" applyFill="1" applyBorder="1" applyAlignment="1">
      <alignment horizontal="center" vertical="top"/>
    </xf>
    <xf numFmtId="165" fontId="3" fillId="2" borderId="71" xfId="0" applyNumberFormat="1" applyFont="1" applyFill="1" applyBorder="1" applyAlignment="1">
      <alignment horizontal="center" vertical="top"/>
    </xf>
    <xf numFmtId="3" fontId="3" fillId="6" borderId="56"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165" fontId="5" fillId="4" borderId="6" xfId="0" applyNumberFormat="1" applyFont="1" applyFill="1" applyBorder="1" applyAlignment="1">
      <alignment horizontal="center" vertical="top"/>
    </xf>
    <xf numFmtId="0" fontId="3" fillId="8" borderId="32" xfId="0" applyFont="1" applyFill="1" applyBorder="1" applyAlignment="1">
      <alignment horizontal="left" vertical="top" wrapText="1"/>
    </xf>
    <xf numFmtId="165" fontId="5" fillId="5" borderId="59" xfId="0" applyNumberFormat="1" applyFont="1" applyFill="1" applyBorder="1" applyAlignment="1">
      <alignment horizontal="center" vertical="top"/>
    </xf>
    <xf numFmtId="165" fontId="3" fillId="0" borderId="62" xfId="0" applyNumberFormat="1" applyFont="1" applyBorder="1" applyAlignment="1">
      <alignment horizontal="center" vertical="top"/>
    </xf>
    <xf numFmtId="49" fontId="5" fillId="6" borderId="50" xfId="0" applyNumberFormat="1" applyFont="1" applyFill="1" applyBorder="1" applyAlignment="1">
      <alignment horizontal="center" vertical="top"/>
    </xf>
    <xf numFmtId="0" fontId="3" fillId="6" borderId="47" xfId="0" applyFont="1" applyFill="1" applyBorder="1" applyAlignment="1">
      <alignment horizontal="center" vertical="top"/>
    </xf>
    <xf numFmtId="0" fontId="3" fillId="6" borderId="29" xfId="0" applyFont="1" applyFill="1" applyBorder="1" applyAlignment="1">
      <alignment horizontal="center" vertical="top"/>
    </xf>
    <xf numFmtId="0" fontId="3" fillId="6" borderId="62" xfId="0" applyFont="1" applyFill="1" applyBorder="1" applyAlignment="1">
      <alignment horizontal="center" vertical="top" wrapText="1"/>
    </xf>
    <xf numFmtId="0" fontId="3" fillId="6" borderId="37" xfId="0" applyFont="1" applyFill="1" applyBorder="1" applyAlignment="1">
      <alignment horizontal="center" vertical="top" wrapText="1"/>
    </xf>
    <xf numFmtId="165" fontId="16" fillId="6" borderId="21" xfId="0" applyNumberFormat="1" applyFont="1" applyFill="1" applyBorder="1" applyAlignment="1">
      <alignment horizontal="center" vertical="top"/>
    </xf>
    <xf numFmtId="0" fontId="3" fillId="6" borderId="68" xfId="0" applyFont="1" applyFill="1" applyBorder="1" applyAlignment="1">
      <alignment horizontal="center" vertical="top" wrapText="1"/>
    </xf>
    <xf numFmtId="165" fontId="5" fillId="8" borderId="33" xfId="0" applyNumberFormat="1" applyFont="1" applyFill="1" applyBorder="1" applyAlignment="1">
      <alignment horizontal="center" vertical="top"/>
    </xf>
    <xf numFmtId="165" fontId="5" fillId="8" borderId="23" xfId="0" applyNumberFormat="1" applyFont="1" applyFill="1" applyBorder="1" applyAlignment="1">
      <alignment horizontal="center" vertical="top"/>
    </xf>
    <xf numFmtId="0" fontId="3" fillId="6" borderId="96" xfId="0" applyFont="1" applyFill="1" applyBorder="1" applyAlignment="1">
      <alignment horizontal="center" vertical="top" wrapText="1"/>
    </xf>
    <xf numFmtId="0" fontId="3" fillId="6" borderId="5" xfId="0" applyFont="1" applyFill="1" applyBorder="1" applyAlignment="1">
      <alignment horizontal="center" vertical="center" wrapText="1"/>
    </xf>
    <xf numFmtId="49" fontId="3" fillId="6" borderId="21" xfId="0" applyNumberFormat="1" applyFont="1" applyFill="1" applyBorder="1" applyAlignment="1">
      <alignment horizontal="center" vertical="top" wrapText="1"/>
    </xf>
    <xf numFmtId="0" fontId="3" fillId="6" borderId="0" xfId="0" applyFont="1" applyFill="1" applyBorder="1" applyAlignment="1">
      <alignment vertical="top"/>
    </xf>
    <xf numFmtId="165" fontId="16" fillId="6" borderId="62" xfId="0" applyNumberFormat="1" applyFont="1" applyFill="1" applyBorder="1" applyAlignment="1">
      <alignment horizontal="center" vertical="top"/>
    </xf>
    <xf numFmtId="0" fontId="3" fillId="6" borderId="88" xfId="0" applyFont="1" applyFill="1" applyBorder="1" applyAlignment="1">
      <alignment vertical="top"/>
    </xf>
    <xf numFmtId="0" fontId="3" fillId="0" borderId="36" xfId="0" applyFont="1" applyBorder="1" applyAlignment="1">
      <alignment horizontal="center" vertical="center" textRotation="90"/>
    </xf>
    <xf numFmtId="0" fontId="25" fillId="6" borderId="37" xfId="0" applyFont="1" applyFill="1" applyBorder="1" applyAlignment="1">
      <alignment horizontal="left" vertical="top" wrapText="1"/>
    </xf>
    <xf numFmtId="165" fontId="16" fillId="6" borderId="52" xfId="0" applyNumberFormat="1" applyFont="1" applyFill="1" applyBorder="1" applyAlignment="1">
      <alignment horizontal="center" vertical="top"/>
    </xf>
    <xf numFmtId="0" fontId="3" fillId="6" borderId="31" xfId="0" applyFont="1" applyFill="1" applyBorder="1" applyAlignment="1">
      <alignment horizontal="center" vertical="top"/>
    </xf>
    <xf numFmtId="0" fontId="3" fillId="6" borderId="30" xfId="0" applyFont="1" applyFill="1" applyBorder="1" applyAlignment="1">
      <alignment horizontal="center" vertical="top"/>
    </xf>
    <xf numFmtId="0" fontId="3" fillId="6" borderId="19" xfId="0" applyFont="1" applyFill="1" applyBorder="1" applyAlignment="1">
      <alignment horizontal="center" vertical="top"/>
    </xf>
    <xf numFmtId="0" fontId="3" fillId="6" borderId="1" xfId="0" applyFont="1" applyFill="1" applyBorder="1" applyAlignment="1">
      <alignment horizontal="center" vertical="top"/>
    </xf>
    <xf numFmtId="0" fontId="3" fillId="6" borderId="17" xfId="0" applyFont="1" applyFill="1" applyBorder="1" applyAlignment="1">
      <alignment horizontal="center" vertical="top"/>
    </xf>
    <xf numFmtId="165" fontId="3" fillId="6" borderId="37" xfId="0" applyNumberFormat="1" applyFont="1" applyFill="1" applyBorder="1" applyAlignment="1">
      <alignment horizontal="center" vertical="center"/>
    </xf>
    <xf numFmtId="3" fontId="3" fillId="6" borderId="4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165" fontId="3" fillId="0" borderId="52" xfId="0" applyNumberFormat="1" applyFont="1" applyFill="1" applyBorder="1" applyAlignment="1">
      <alignment horizontal="center" vertical="top"/>
    </xf>
    <xf numFmtId="3" fontId="3" fillId="0" borderId="1" xfId="0" applyNumberFormat="1" applyFont="1" applyFill="1" applyBorder="1" applyAlignment="1">
      <alignment horizontal="center" vertical="top" wrapText="1"/>
    </xf>
    <xf numFmtId="165" fontId="3" fillId="6" borderId="29" xfId="0" applyNumberFormat="1" applyFont="1" applyFill="1" applyBorder="1" applyAlignment="1">
      <alignment horizontal="center" vertical="top" wrapText="1"/>
    </xf>
    <xf numFmtId="165" fontId="3" fillId="2" borderId="68" xfId="0" applyNumberFormat="1" applyFont="1" applyFill="1" applyBorder="1" applyAlignment="1">
      <alignment horizontal="center" vertical="top"/>
    </xf>
    <xf numFmtId="3" fontId="9" fillId="0" borderId="62" xfId="1" applyNumberFormat="1" applyFont="1" applyBorder="1" applyAlignment="1">
      <alignment horizontal="center" vertical="top"/>
    </xf>
    <xf numFmtId="0" fontId="2" fillId="6" borderId="23" xfId="0" applyFont="1" applyFill="1" applyBorder="1" applyAlignment="1">
      <alignment horizontal="center" vertical="center" textRotation="90" wrapText="1"/>
    </xf>
    <xf numFmtId="0" fontId="3" fillId="6" borderId="99" xfId="0" applyNumberFormat="1" applyFont="1" applyFill="1" applyBorder="1" applyAlignment="1">
      <alignment horizontal="center" vertical="top" wrapText="1"/>
    </xf>
    <xf numFmtId="0" fontId="3" fillId="6" borderId="93" xfId="0" applyNumberFormat="1" applyFont="1" applyFill="1" applyBorder="1" applyAlignment="1">
      <alignment horizontal="center" vertical="top" wrapText="1"/>
    </xf>
    <xf numFmtId="0" fontId="3" fillId="6" borderId="31" xfId="0" applyFont="1" applyFill="1" applyBorder="1" applyAlignment="1">
      <alignment vertical="top"/>
    </xf>
    <xf numFmtId="3" fontId="26" fillId="0" borderId="26" xfId="0" applyNumberFormat="1" applyFont="1" applyBorder="1" applyAlignment="1">
      <alignment vertical="top"/>
    </xf>
    <xf numFmtId="0" fontId="3" fillId="0" borderId="65" xfId="0" applyFont="1" applyBorder="1" applyAlignment="1">
      <alignment horizontal="center" vertical="center" textRotation="90" wrapText="1"/>
    </xf>
    <xf numFmtId="3" fontId="26" fillId="0" borderId="24" xfId="0" applyNumberFormat="1" applyFont="1" applyBorder="1" applyAlignment="1">
      <alignment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xf>
    <xf numFmtId="3" fontId="3" fillId="6" borderId="27" xfId="0" applyNumberFormat="1" applyFont="1" applyFill="1" applyBorder="1" applyAlignment="1">
      <alignment horizontal="center" vertical="top" wrapText="1"/>
    </xf>
    <xf numFmtId="165" fontId="3" fillId="6" borderId="46" xfId="0" applyNumberFormat="1" applyFont="1" applyFill="1" applyBorder="1" applyAlignment="1">
      <alignment horizontal="center" vertical="top" wrapText="1"/>
    </xf>
    <xf numFmtId="3" fontId="3" fillId="6" borderId="108" xfId="1" applyNumberFormat="1" applyFont="1" applyFill="1" applyBorder="1" applyAlignment="1">
      <alignment horizontal="center" vertical="top"/>
    </xf>
    <xf numFmtId="3" fontId="3" fillId="6" borderId="101"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3" fontId="3" fillId="6" borderId="103" xfId="1" applyNumberFormat="1" applyFont="1" applyFill="1" applyBorder="1" applyAlignment="1">
      <alignment horizontal="center" vertical="top"/>
    </xf>
    <xf numFmtId="3" fontId="3" fillId="6" borderId="107" xfId="1" applyNumberFormat="1" applyFont="1" applyFill="1" applyBorder="1" applyAlignment="1">
      <alignment horizontal="center" vertical="top"/>
    </xf>
    <xf numFmtId="3" fontId="3" fillId="6" borderId="101" xfId="1" applyNumberFormat="1" applyFont="1" applyFill="1" applyBorder="1" applyAlignment="1">
      <alignment horizontal="center" vertical="top" wrapText="1"/>
    </xf>
    <xf numFmtId="3" fontId="3" fillId="6" borderId="103" xfId="1" applyNumberFormat="1" applyFont="1" applyFill="1" applyBorder="1" applyAlignment="1">
      <alignment horizontal="center" vertical="top" wrapText="1"/>
    </xf>
    <xf numFmtId="1" fontId="3" fillId="6" borderId="103"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center" wrapText="1"/>
    </xf>
    <xf numFmtId="3" fontId="5" fillId="6" borderId="44" xfId="0" applyNumberFormat="1" applyFont="1" applyFill="1" applyBorder="1" applyAlignment="1">
      <alignment horizontal="center" vertical="top" wrapText="1"/>
    </xf>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5" xfId="0" applyNumberFormat="1" applyFont="1" applyFill="1" applyBorder="1" applyAlignment="1">
      <alignment horizontal="center" vertical="top"/>
    </xf>
    <xf numFmtId="3" fontId="3" fillId="0" borderId="99" xfId="0" applyNumberFormat="1" applyFont="1" applyFill="1" applyBorder="1" applyAlignment="1">
      <alignment horizontal="center" vertical="top" wrapText="1"/>
    </xf>
    <xf numFmtId="3" fontId="3" fillId="0" borderId="95" xfId="0" applyNumberFormat="1" applyFont="1" applyFill="1" applyBorder="1" applyAlignment="1">
      <alignment horizontal="center" vertical="top" wrapText="1"/>
    </xf>
    <xf numFmtId="49" fontId="3" fillId="6" borderId="99"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3" fontId="3" fillId="0" borderId="46" xfId="0" applyNumberFormat="1" applyFont="1" applyFill="1" applyBorder="1" applyAlignment="1">
      <alignment horizontal="center" vertical="top"/>
    </xf>
    <xf numFmtId="165" fontId="3" fillId="6" borderId="17"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1" fontId="3" fillId="6" borderId="17" xfId="1" applyNumberFormat="1" applyFont="1" applyFill="1" applyBorder="1" applyAlignment="1">
      <alignment horizontal="center" vertical="top" wrapText="1"/>
    </xf>
    <xf numFmtId="0" fontId="3" fillId="12" borderId="17" xfId="0" applyFont="1" applyFill="1" applyBorder="1" applyAlignment="1">
      <alignment horizontal="center" vertical="top" wrapText="1"/>
    </xf>
    <xf numFmtId="165" fontId="16" fillId="6" borderId="31" xfId="0" applyNumberFormat="1" applyFont="1" applyFill="1" applyBorder="1" applyAlignment="1">
      <alignment horizontal="center" vertical="top"/>
    </xf>
    <xf numFmtId="0" fontId="3" fillId="6" borderId="88" xfId="1" applyFont="1" applyFill="1" applyBorder="1" applyAlignment="1">
      <alignment vertical="top" wrapText="1"/>
    </xf>
    <xf numFmtId="0" fontId="3" fillId="6" borderId="17"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xf>
    <xf numFmtId="3" fontId="3" fillId="6" borderId="1" xfId="1" applyNumberFormat="1" applyFont="1" applyFill="1" applyBorder="1" applyAlignment="1">
      <alignment horizontal="center" vertical="top"/>
    </xf>
    <xf numFmtId="3" fontId="3" fillId="6" borderId="17" xfId="1" applyNumberFormat="1" applyFont="1" applyFill="1" applyBorder="1" applyAlignment="1">
      <alignment horizontal="center" vertical="top" wrapText="1"/>
    </xf>
    <xf numFmtId="0" fontId="3" fillId="6" borderId="47" xfId="0" applyFont="1" applyFill="1" applyBorder="1" applyAlignment="1">
      <alignment horizontal="center" vertical="center"/>
    </xf>
    <xf numFmtId="0" fontId="3" fillId="0" borderId="45" xfId="0" applyFont="1" applyFill="1" applyBorder="1" applyAlignment="1">
      <alignment horizontal="center" vertical="top"/>
    </xf>
    <xf numFmtId="0" fontId="3" fillId="6" borderId="76" xfId="0" applyFont="1" applyFill="1" applyBorder="1" applyAlignment="1">
      <alignment horizontal="center" vertical="center"/>
    </xf>
    <xf numFmtId="165" fontId="3" fillId="0" borderId="46"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25" xfId="0" applyNumberFormat="1" applyFont="1" applyFill="1" applyBorder="1" applyAlignment="1">
      <alignment horizontal="center" vertical="top"/>
    </xf>
    <xf numFmtId="165" fontId="3" fillId="0" borderId="31" xfId="0" applyNumberFormat="1" applyFont="1" applyFill="1" applyBorder="1" applyAlignment="1">
      <alignment horizontal="center" vertical="top"/>
    </xf>
    <xf numFmtId="165" fontId="3" fillId="0" borderId="62" xfId="0" applyNumberFormat="1" applyFont="1" applyFill="1" applyBorder="1" applyAlignment="1">
      <alignment horizontal="center" vertical="top"/>
    </xf>
    <xf numFmtId="165" fontId="3" fillId="6" borderId="47" xfId="0" applyNumberFormat="1" applyFont="1" applyFill="1" applyBorder="1" applyAlignment="1">
      <alignment vertical="top"/>
    </xf>
    <xf numFmtId="165" fontId="3" fillId="6" borderId="29" xfId="0" applyNumberFormat="1" applyFont="1" applyFill="1" applyBorder="1" applyAlignment="1">
      <alignment vertical="top"/>
    </xf>
    <xf numFmtId="0" fontId="3" fillId="0" borderId="47" xfId="0" applyFont="1" applyBorder="1" applyAlignment="1">
      <alignment vertical="top"/>
    </xf>
    <xf numFmtId="0" fontId="3" fillId="6" borderId="47" xfId="0" applyFont="1" applyFill="1" applyBorder="1" applyAlignment="1">
      <alignment vertical="top"/>
    </xf>
    <xf numFmtId="3" fontId="3" fillId="6" borderId="76" xfId="0" applyNumberFormat="1" applyFont="1" applyFill="1" applyBorder="1" applyAlignment="1">
      <alignment horizontal="center" vertical="top"/>
    </xf>
    <xf numFmtId="3" fontId="3" fillId="6" borderId="99"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3" fillId="6" borderId="44" xfId="0" applyNumberFormat="1" applyFont="1" applyFill="1" applyBorder="1" applyAlignment="1">
      <alignment horizontal="center" vertical="top"/>
    </xf>
    <xf numFmtId="3" fontId="3" fillId="6" borderId="56" xfId="0" applyNumberFormat="1" applyFont="1" applyFill="1" applyBorder="1" applyAlignment="1">
      <alignment horizontal="center" vertical="top"/>
    </xf>
    <xf numFmtId="165" fontId="11" fillId="6" borderId="62" xfId="0" applyNumberFormat="1" applyFont="1" applyFill="1" applyBorder="1" applyAlignment="1">
      <alignment horizontal="center" vertical="top"/>
    </xf>
    <xf numFmtId="165" fontId="11" fillId="6" borderId="51" xfId="0" applyNumberFormat="1" applyFont="1" applyFill="1" applyBorder="1" applyAlignment="1">
      <alignment horizontal="center" vertical="top"/>
    </xf>
    <xf numFmtId="165" fontId="11" fillId="6" borderId="52" xfId="0" applyNumberFormat="1" applyFont="1" applyFill="1" applyBorder="1" applyAlignment="1">
      <alignment horizontal="center" vertical="top"/>
    </xf>
    <xf numFmtId="165" fontId="20" fillId="8" borderId="33" xfId="0" applyNumberFormat="1" applyFont="1" applyFill="1" applyBorder="1" applyAlignment="1">
      <alignment horizontal="center" vertical="top"/>
    </xf>
    <xf numFmtId="165" fontId="11" fillId="6" borderId="31" xfId="0" applyNumberFormat="1" applyFont="1" applyFill="1" applyBorder="1" applyAlignment="1">
      <alignment horizontal="center" vertical="top"/>
    </xf>
    <xf numFmtId="165" fontId="5" fillId="10" borderId="4" xfId="0" applyNumberFormat="1" applyFont="1" applyFill="1" applyBorder="1" applyAlignment="1">
      <alignment horizontal="center" vertical="top"/>
    </xf>
    <xf numFmtId="165" fontId="5" fillId="4" borderId="4" xfId="0" applyNumberFormat="1" applyFont="1" applyFill="1" applyBorder="1" applyAlignment="1">
      <alignment horizontal="center" vertical="top"/>
    </xf>
    <xf numFmtId="165" fontId="5" fillId="4" borderId="69" xfId="0" applyNumberFormat="1" applyFont="1" applyFill="1" applyBorder="1" applyAlignment="1">
      <alignment horizontal="center" vertical="top"/>
    </xf>
    <xf numFmtId="165" fontId="3" fillId="8" borderId="62" xfId="0" applyNumberFormat="1" applyFont="1" applyFill="1" applyBorder="1" applyAlignment="1">
      <alignment horizontal="center" vertical="top"/>
    </xf>
    <xf numFmtId="165" fontId="5" fillId="5" borderId="32"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165" fontId="5" fillId="8" borderId="41" xfId="0" applyNumberFormat="1" applyFont="1" applyFill="1" applyBorder="1" applyAlignment="1">
      <alignment horizontal="center" vertical="top" wrapText="1"/>
    </xf>
    <xf numFmtId="165" fontId="3" fillId="0" borderId="52" xfId="0" applyNumberFormat="1" applyFont="1" applyBorder="1" applyAlignment="1">
      <alignment horizontal="center" vertical="top"/>
    </xf>
    <xf numFmtId="165" fontId="3" fillId="8" borderId="52" xfId="0" applyNumberFormat="1" applyFont="1" applyFill="1" applyBorder="1" applyAlignment="1">
      <alignment horizontal="center" vertical="top"/>
    </xf>
    <xf numFmtId="165" fontId="5" fillId="5" borderId="33" xfId="0" applyNumberFormat="1" applyFont="1" applyFill="1" applyBorder="1" applyAlignment="1">
      <alignment horizontal="center" vertical="top"/>
    </xf>
    <xf numFmtId="165" fontId="5" fillId="8"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4" borderId="12" xfId="0" applyNumberFormat="1" applyFont="1" applyFill="1" applyBorder="1" applyAlignment="1">
      <alignment horizontal="center" vertical="top"/>
    </xf>
    <xf numFmtId="165" fontId="3" fillId="0" borderId="31" xfId="0" applyNumberFormat="1" applyFont="1" applyBorder="1" applyAlignment="1">
      <alignment horizontal="center" vertical="top"/>
    </xf>
    <xf numFmtId="165" fontId="3" fillId="8" borderId="31" xfId="0" applyNumberFormat="1" applyFont="1" applyFill="1" applyBorder="1" applyAlignment="1">
      <alignment horizontal="center" vertical="top"/>
    </xf>
    <xf numFmtId="165" fontId="5" fillId="5" borderId="23" xfId="0" applyNumberFormat="1" applyFont="1" applyFill="1" applyBorder="1" applyAlignment="1">
      <alignment horizontal="center" vertical="top"/>
    </xf>
    <xf numFmtId="3" fontId="3" fillId="6" borderId="9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3" fontId="3" fillId="6" borderId="75" xfId="0" applyNumberFormat="1" applyFont="1" applyFill="1" applyBorder="1" applyAlignment="1">
      <alignment horizontal="center" vertical="top" wrapText="1"/>
    </xf>
    <xf numFmtId="0" fontId="3" fillId="0" borderId="88" xfId="0" applyFont="1" applyFill="1" applyBorder="1" applyAlignment="1">
      <alignment horizontal="left" vertical="top" wrapText="1"/>
    </xf>
    <xf numFmtId="165" fontId="3" fillId="8" borderId="67" xfId="0" applyNumberFormat="1" applyFont="1" applyFill="1" applyBorder="1" applyAlignment="1">
      <alignment horizontal="center" vertical="top" wrapText="1"/>
    </xf>
    <xf numFmtId="165" fontId="3" fillId="0" borderId="67" xfId="0" applyNumberFormat="1" applyFont="1" applyBorder="1" applyAlignment="1">
      <alignment horizontal="center" vertical="top" wrapText="1"/>
    </xf>
    <xf numFmtId="0" fontId="0" fillId="0" borderId="0" xfId="0" applyAlignment="1">
      <alignment horizontal="left" vertical="top" wrapText="1"/>
    </xf>
    <xf numFmtId="3" fontId="5" fillId="0" borderId="69" xfId="0" applyNumberFormat="1" applyFont="1" applyBorder="1" applyAlignment="1">
      <alignment horizontal="center" vertical="center" wrapText="1"/>
    </xf>
    <xf numFmtId="165" fontId="5" fillId="8" borderId="67" xfId="0" applyNumberFormat="1" applyFont="1" applyFill="1" applyBorder="1" applyAlignment="1">
      <alignment horizontal="center" vertical="top" wrapText="1"/>
    </xf>
    <xf numFmtId="165" fontId="5" fillId="4" borderId="67" xfId="0" applyNumberFormat="1" applyFont="1" applyFill="1" applyBorder="1" applyAlignment="1">
      <alignment horizontal="center" vertical="top" wrapText="1"/>
    </xf>
    <xf numFmtId="165" fontId="3" fillId="0" borderId="21" xfId="0" applyNumberFormat="1" applyFont="1" applyFill="1" applyBorder="1" applyAlignment="1">
      <alignment horizontal="center" vertical="top"/>
    </xf>
    <xf numFmtId="3" fontId="3" fillId="6" borderId="39" xfId="1" applyNumberFormat="1" applyFont="1" applyFill="1" applyBorder="1" applyAlignment="1">
      <alignment horizontal="center" vertical="top"/>
    </xf>
    <xf numFmtId="165" fontId="3" fillId="0" borderId="63" xfId="0" applyNumberFormat="1" applyFont="1" applyFill="1" applyBorder="1" applyAlignment="1">
      <alignment horizontal="center" vertical="top" wrapText="1"/>
    </xf>
    <xf numFmtId="3" fontId="3" fillId="6" borderId="40" xfId="1" applyNumberFormat="1" applyFont="1" applyFill="1" applyBorder="1" applyAlignment="1">
      <alignment horizontal="center" vertical="top"/>
    </xf>
    <xf numFmtId="3" fontId="3" fillId="6" borderId="46" xfId="1" applyNumberFormat="1" applyFont="1" applyFill="1" applyBorder="1" applyAlignment="1">
      <alignment horizontal="center" vertical="top"/>
    </xf>
    <xf numFmtId="3" fontId="3" fillId="6" borderId="0" xfId="1" applyNumberFormat="1" applyFont="1" applyFill="1" applyBorder="1" applyAlignment="1">
      <alignment horizontal="center" vertical="top" wrapText="1"/>
    </xf>
    <xf numFmtId="3" fontId="3" fillId="6" borderId="0" xfId="0" applyNumberFormat="1" applyFont="1" applyFill="1" applyBorder="1" applyAlignment="1">
      <alignment horizontal="center" wrapText="1"/>
    </xf>
    <xf numFmtId="0" fontId="3" fillId="12" borderId="46" xfId="0" applyFont="1" applyFill="1" applyBorder="1" applyAlignment="1">
      <alignment horizontal="center" vertical="top" wrapText="1"/>
    </xf>
    <xf numFmtId="0" fontId="3" fillId="6" borderId="29" xfId="0" applyNumberFormat="1" applyFont="1" applyFill="1" applyBorder="1" applyAlignment="1">
      <alignment horizontal="center" vertical="top"/>
    </xf>
    <xf numFmtId="0" fontId="3" fillId="6" borderId="30" xfId="0" applyFont="1" applyFill="1" applyBorder="1" applyAlignment="1">
      <alignment vertical="top"/>
    </xf>
    <xf numFmtId="165" fontId="3" fillId="0" borderId="110" xfId="0" applyNumberFormat="1" applyFont="1" applyFill="1" applyBorder="1" applyAlignment="1">
      <alignment horizontal="center" vertical="top" wrapText="1"/>
    </xf>
    <xf numFmtId="3" fontId="3" fillId="6" borderId="16" xfId="1" applyNumberFormat="1" applyFont="1" applyFill="1" applyBorder="1" applyAlignment="1">
      <alignment horizontal="center" vertical="top"/>
    </xf>
    <xf numFmtId="3" fontId="3" fillId="6" borderId="71" xfId="1" applyNumberFormat="1" applyFont="1" applyFill="1" applyBorder="1" applyAlignment="1">
      <alignment horizontal="center" vertical="top"/>
    </xf>
    <xf numFmtId="3" fontId="3" fillId="6" borderId="81" xfId="1" applyNumberFormat="1" applyFont="1" applyFill="1" applyBorder="1" applyAlignment="1">
      <alignment horizontal="center" vertical="top"/>
    </xf>
    <xf numFmtId="3" fontId="3" fillId="6" borderId="72" xfId="1" applyNumberFormat="1" applyFont="1" applyFill="1" applyBorder="1" applyAlignment="1">
      <alignment horizontal="center" vertical="top"/>
    </xf>
    <xf numFmtId="3" fontId="3" fillId="6" borderId="30" xfId="1" applyNumberFormat="1" applyFont="1" applyFill="1" applyBorder="1" applyAlignment="1">
      <alignment horizontal="center" vertical="top"/>
    </xf>
    <xf numFmtId="3" fontId="3" fillId="6" borderId="93" xfId="1" applyNumberFormat="1" applyFont="1" applyFill="1" applyBorder="1" applyAlignment="1">
      <alignment horizontal="center" vertical="top"/>
    </xf>
    <xf numFmtId="3" fontId="3" fillId="6" borderId="72" xfId="1" applyNumberFormat="1" applyFont="1" applyFill="1" applyBorder="1" applyAlignment="1">
      <alignment horizontal="center" vertical="top" wrapText="1"/>
    </xf>
    <xf numFmtId="1" fontId="3" fillId="6" borderId="81" xfId="0" applyNumberFormat="1" applyFont="1" applyFill="1" applyBorder="1" applyAlignment="1">
      <alignment horizontal="center" vertical="top" wrapText="1"/>
    </xf>
    <xf numFmtId="3" fontId="3" fillId="6" borderId="72" xfId="0" applyNumberFormat="1" applyFont="1" applyFill="1" applyBorder="1" applyAlignment="1">
      <alignment horizontal="center" vertical="top" wrapText="1"/>
    </xf>
    <xf numFmtId="3" fontId="3" fillId="6" borderId="17" xfId="0" applyNumberFormat="1" applyFont="1" applyFill="1" applyBorder="1" applyAlignment="1">
      <alignment horizontal="center" wrapText="1"/>
    </xf>
    <xf numFmtId="164" fontId="2" fillId="6" borderId="1" xfId="0" applyNumberFormat="1" applyFont="1" applyFill="1" applyBorder="1" applyAlignment="1">
      <alignment horizontal="center" vertical="center" wrapText="1"/>
    </xf>
    <xf numFmtId="3" fontId="3" fillId="6" borderId="26" xfId="0" applyNumberFormat="1" applyFont="1" applyFill="1" applyBorder="1" applyAlignment="1">
      <alignment horizontal="center" vertical="top" wrapText="1"/>
    </xf>
    <xf numFmtId="0" fontId="3" fillId="12" borderId="30" xfId="0" applyFont="1" applyFill="1" applyBorder="1" applyAlignment="1">
      <alignment horizontal="center" vertical="top" wrapText="1"/>
    </xf>
    <xf numFmtId="0" fontId="3" fillId="3" borderId="111" xfId="0" applyFont="1" applyFill="1" applyBorder="1" applyAlignment="1">
      <alignment horizontal="center" vertical="top" wrapText="1"/>
    </xf>
    <xf numFmtId="3" fontId="3" fillId="8" borderId="112" xfId="0" applyNumberFormat="1" applyFont="1" applyFill="1" applyBorder="1" applyAlignment="1">
      <alignment horizontal="center" vertical="top"/>
    </xf>
    <xf numFmtId="0" fontId="3" fillId="6" borderId="104" xfId="0" applyNumberFormat="1" applyFont="1" applyFill="1" applyBorder="1" applyAlignment="1">
      <alignment horizontal="center" vertical="top" wrapText="1"/>
    </xf>
    <xf numFmtId="3" fontId="3" fillId="6" borderId="81" xfId="0" applyNumberFormat="1" applyFont="1" applyFill="1" applyBorder="1" applyAlignment="1">
      <alignment horizontal="center" vertical="top" wrapText="1"/>
    </xf>
    <xf numFmtId="3" fontId="3" fillId="6" borderId="99" xfId="0" applyNumberFormat="1" applyFont="1" applyFill="1" applyBorder="1" applyAlignment="1">
      <alignment horizontal="center" vertical="top" wrapText="1"/>
    </xf>
    <xf numFmtId="3" fontId="3" fillId="6" borderId="93" xfId="0" applyNumberFormat="1" applyFont="1" applyFill="1" applyBorder="1" applyAlignment="1">
      <alignment horizontal="center" vertical="top" wrapText="1"/>
    </xf>
    <xf numFmtId="0" fontId="9" fillId="0" borderId="63" xfId="0" applyFont="1" applyFill="1" applyBorder="1" applyAlignment="1">
      <alignment vertical="top" wrapText="1"/>
    </xf>
    <xf numFmtId="0" fontId="3" fillId="6" borderId="39" xfId="0" applyFont="1" applyFill="1" applyBorder="1" applyAlignment="1">
      <alignment horizontal="left" vertical="top" wrapText="1"/>
    </xf>
    <xf numFmtId="0" fontId="3" fillId="6" borderId="113" xfId="0" applyFont="1" applyFill="1" applyBorder="1" applyAlignment="1">
      <alignment vertical="top" wrapText="1"/>
    </xf>
    <xf numFmtId="165" fontId="3" fillId="6" borderId="62" xfId="1" applyNumberFormat="1" applyFont="1" applyFill="1" applyBorder="1" applyAlignment="1">
      <alignment horizontal="center" vertical="top"/>
    </xf>
    <xf numFmtId="0" fontId="3" fillId="6" borderId="45" xfId="0" applyFont="1" applyFill="1" applyBorder="1" applyAlignment="1">
      <alignment horizontal="center" vertical="top"/>
    </xf>
    <xf numFmtId="0" fontId="3" fillId="0" borderId="45" xfId="0" applyFont="1" applyBorder="1" applyAlignment="1">
      <alignment vertical="top"/>
    </xf>
    <xf numFmtId="49" fontId="5" fillId="8" borderId="27" xfId="0" applyNumberFormat="1" applyFont="1" applyFill="1" applyBorder="1" applyAlignment="1">
      <alignment horizontal="center" vertical="top" wrapText="1"/>
    </xf>
    <xf numFmtId="0" fontId="7" fillId="6" borderId="30" xfId="0" applyFont="1" applyFill="1" applyBorder="1" applyAlignment="1">
      <alignment horizontal="center" vertical="center" wrapText="1"/>
    </xf>
    <xf numFmtId="3" fontId="3" fillId="2" borderId="6" xfId="0" applyNumberFormat="1" applyFont="1" applyFill="1" applyBorder="1" applyAlignment="1">
      <alignment horizontal="right" vertical="top"/>
    </xf>
    <xf numFmtId="3" fontId="3" fillId="6" borderId="29" xfId="0" applyNumberFormat="1" applyFont="1" applyFill="1" applyBorder="1" applyAlignment="1">
      <alignment vertical="top" wrapText="1"/>
    </xf>
    <xf numFmtId="49" fontId="5" fillId="6" borderId="31" xfId="0" applyNumberFormat="1" applyFont="1" applyFill="1" applyBorder="1" applyAlignment="1">
      <alignment horizontal="center" vertical="center"/>
    </xf>
    <xf numFmtId="3" fontId="15" fillId="0" borderId="29" xfId="0" applyNumberFormat="1" applyFont="1" applyBorder="1" applyAlignment="1">
      <alignment horizontal="center" vertical="top"/>
    </xf>
    <xf numFmtId="0" fontId="5" fillId="6" borderId="18" xfId="0" applyFont="1" applyFill="1" applyBorder="1" applyAlignment="1">
      <alignment horizontal="center" vertical="top" wrapText="1"/>
    </xf>
    <xf numFmtId="165" fontId="3" fillId="0" borderId="0" xfId="0" applyNumberFormat="1" applyFont="1" applyFill="1" applyBorder="1" applyAlignment="1">
      <alignment horizontal="center" vertical="top" wrapText="1"/>
    </xf>
    <xf numFmtId="0" fontId="27" fillId="6" borderId="2" xfId="0" applyFont="1" applyFill="1" applyBorder="1" applyAlignment="1">
      <alignment horizontal="left" vertical="top" wrapText="1"/>
    </xf>
    <xf numFmtId="0" fontId="28" fillId="6" borderId="15" xfId="0" applyFont="1" applyFill="1" applyBorder="1" applyAlignment="1">
      <alignment horizontal="center" vertical="center" textRotation="90" wrapText="1"/>
    </xf>
    <xf numFmtId="49" fontId="27" fillId="6" borderId="17" xfId="0" applyNumberFormat="1" applyFont="1" applyFill="1" applyBorder="1" applyAlignment="1">
      <alignment horizontal="center" vertical="top"/>
    </xf>
    <xf numFmtId="0" fontId="28" fillId="6" borderId="20" xfId="0" applyFont="1" applyFill="1" applyBorder="1" applyAlignment="1">
      <alignment horizontal="center" vertical="top"/>
    </xf>
    <xf numFmtId="165" fontId="28" fillId="6" borderId="41" xfId="0" applyNumberFormat="1" applyFont="1" applyFill="1" applyBorder="1" applyAlignment="1">
      <alignment horizontal="center" vertical="top"/>
    </xf>
    <xf numFmtId="0" fontId="28" fillId="6" borderId="2" xfId="0" applyFont="1" applyFill="1" applyBorder="1" applyAlignment="1">
      <alignment vertical="top" wrapText="1"/>
    </xf>
    <xf numFmtId="0" fontId="28" fillId="6" borderId="15" xfId="0" applyFont="1" applyFill="1" applyBorder="1" applyAlignment="1">
      <alignment horizontal="left" vertical="top" wrapText="1"/>
    </xf>
    <xf numFmtId="0" fontId="28" fillId="6" borderId="8" xfId="0" applyFont="1" applyFill="1" applyBorder="1" applyAlignment="1">
      <alignment horizontal="center" vertical="top"/>
    </xf>
    <xf numFmtId="165" fontId="28" fillId="6" borderId="37" xfId="0" applyNumberFormat="1" applyFont="1" applyFill="1" applyBorder="1" applyAlignment="1">
      <alignment horizontal="center" vertical="top"/>
    </xf>
    <xf numFmtId="165" fontId="28" fillId="6" borderId="8" xfId="0" applyNumberFormat="1" applyFont="1" applyFill="1" applyBorder="1" applyAlignment="1">
      <alignment horizontal="center" vertical="top"/>
    </xf>
    <xf numFmtId="165" fontId="28" fillId="6" borderId="50" xfId="0" applyNumberFormat="1" applyFont="1" applyFill="1" applyBorder="1" applyAlignment="1">
      <alignment horizontal="center" vertical="top"/>
    </xf>
    <xf numFmtId="0" fontId="3" fillId="6" borderId="26" xfId="0" applyNumberFormat="1" applyFont="1" applyFill="1" applyBorder="1" applyAlignment="1">
      <alignment horizontal="center" vertical="top" wrapText="1"/>
    </xf>
    <xf numFmtId="165" fontId="3" fillId="6" borderId="101" xfId="0" applyNumberFormat="1" applyFont="1" applyFill="1" applyBorder="1" applyAlignment="1">
      <alignment horizontal="center" vertical="top"/>
    </xf>
    <xf numFmtId="165" fontId="3" fillId="6" borderId="91" xfId="0" applyNumberFormat="1" applyFont="1" applyFill="1" applyBorder="1" applyAlignment="1">
      <alignment horizontal="center" vertical="top"/>
    </xf>
    <xf numFmtId="3" fontId="3" fillId="6" borderId="92"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6" borderId="72" xfId="0" applyNumberFormat="1" applyFont="1" applyFill="1" applyBorder="1" applyAlignment="1">
      <alignment horizontal="center" vertical="top"/>
    </xf>
    <xf numFmtId="0" fontId="23" fillId="0" borderId="0" xfId="0" applyFont="1" applyAlignment="1">
      <alignment horizontal="right" wrapText="1"/>
    </xf>
    <xf numFmtId="3" fontId="3" fillId="0" borderId="0" xfId="0" applyNumberFormat="1" applyFont="1" applyFill="1" applyBorder="1" applyAlignment="1">
      <alignment horizontal="left" vertical="top" wrapText="1"/>
    </xf>
    <xf numFmtId="0" fontId="3" fillId="6" borderId="20" xfId="0" applyFont="1" applyFill="1" applyBorder="1" applyAlignment="1">
      <alignment horizontal="center" vertical="top" wrapText="1"/>
    </xf>
    <xf numFmtId="165" fontId="3" fillId="6" borderId="103" xfId="0" applyNumberFormat="1" applyFont="1" applyFill="1" applyBorder="1" applyAlignment="1">
      <alignment horizontal="center" vertical="top"/>
    </xf>
    <xf numFmtId="165" fontId="3" fillId="6" borderId="75" xfId="0" applyNumberFormat="1" applyFont="1" applyFill="1" applyBorder="1" applyAlignment="1">
      <alignment horizontal="center" vertical="top"/>
    </xf>
    <xf numFmtId="165" fontId="3" fillId="6" borderId="105" xfId="0" applyNumberFormat="1" applyFont="1" applyFill="1" applyBorder="1" applyAlignment="1">
      <alignment horizontal="center" vertical="top"/>
    </xf>
    <xf numFmtId="165" fontId="3" fillId="6" borderId="62"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49" fontId="3" fillId="6" borderId="37" xfId="0" applyNumberFormat="1" applyFont="1" applyFill="1" applyBorder="1" applyAlignment="1">
      <alignment horizontal="center" vertical="top" wrapText="1"/>
    </xf>
    <xf numFmtId="0" fontId="3" fillId="6" borderId="36" xfId="0"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0" fontId="3" fillId="6" borderId="62" xfId="0" applyFont="1" applyFill="1" applyBorder="1" applyAlignment="1">
      <alignment vertical="top" wrapText="1"/>
    </xf>
    <xf numFmtId="0" fontId="3" fillId="6" borderId="29" xfId="0" applyNumberFormat="1" applyFont="1" applyFill="1" applyBorder="1" applyAlignment="1">
      <alignment horizontal="center" vertical="top" wrapText="1"/>
    </xf>
    <xf numFmtId="0" fontId="5" fillId="2" borderId="47" xfId="0" applyFont="1" applyFill="1" applyBorder="1" applyAlignment="1">
      <alignment horizontal="center" vertical="top" wrapText="1"/>
    </xf>
    <xf numFmtId="0" fontId="5" fillId="2" borderId="29" xfId="0" applyFont="1" applyFill="1" applyBorder="1" applyAlignment="1">
      <alignment horizontal="center" vertical="top" wrapText="1"/>
    </xf>
    <xf numFmtId="0" fontId="3" fillId="2" borderId="43" xfId="0" applyFont="1" applyFill="1" applyBorder="1" applyAlignment="1">
      <alignment horizontal="center" vertical="top" wrapText="1"/>
    </xf>
    <xf numFmtId="3" fontId="3" fillId="0" borderId="21" xfId="0" applyNumberFormat="1" applyFont="1" applyBorder="1" applyAlignment="1">
      <alignment horizontal="center" vertical="top" wrapText="1"/>
    </xf>
    <xf numFmtId="49" fontId="29" fillId="6" borderId="0" xfId="0" applyNumberFormat="1" applyFont="1" applyFill="1" applyBorder="1" applyAlignment="1">
      <alignment horizontal="center" vertical="top"/>
    </xf>
    <xf numFmtId="0" fontId="3" fillId="6" borderId="88" xfId="0" applyFont="1" applyFill="1" applyBorder="1" applyAlignment="1">
      <alignment horizontal="left" vertical="top" wrapText="1"/>
    </xf>
    <xf numFmtId="0" fontId="7" fillId="6" borderId="31" xfId="0" applyFont="1" applyFill="1" applyBorder="1" applyAlignment="1">
      <alignment horizontal="center" vertical="top" wrapText="1"/>
    </xf>
    <xf numFmtId="3" fontId="3" fillId="6" borderId="92" xfId="0" applyNumberFormat="1" applyFont="1" applyFill="1" applyBorder="1" applyAlignment="1">
      <alignment horizontal="center" vertical="top" wrapText="1"/>
    </xf>
    <xf numFmtId="3" fontId="3" fillId="6" borderId="104"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wrapText="1"/>
    </xf>
    <xf numFmtId="0" fontId="3" fillId="6" borderId="101" xfId="0" applyFont="1" applyFill="1" applyBorder="1" applyAlignment="1">
      <alignment vertical="top" wrapText="1"/>
    </xf>
    <xf numFmtId="3" fontId="3" fillId="6" borderId="85" xfId="1" applyNumberFormat="1" applyFont="1" applyFill="1" applyBorder="1" applyAlignment="1">
      <alignment horizontal="center" vertical="top"/>
    </xf>
    <xf numFmtId="3" fontId="3" fillId="0" borderId="31" xfId="1" applyNumberFormat="1" applyFont="1" applyFill="1" applyBorder="1" applyAlignment="1">
      <alignment horizontal="center" vertical="top"/>
    </xf>
    <xf numFmtId="3" fontId="3" fillId="0" borderId="30" xfId="1" applyNumberFormat="1" applyFont="1" applyFill="1" applyBorder="1" applyAlignment="1">
      <alignment horizontal="center" vertical="top"/>
    </xf>
    <xf numFmtId="0" fontId="3" fillId="6" borderId="74" xfId="0" applyFont="1" applyFill="1" applyBorder="1" applyAlignment="1">
      <alignment vertical="top"/>
    </xf>
    <xf numFmtId="0" fontId="3" fillId="6" borderId="73" xfId="0" applyFont="1" applyFill="1" applyBorder="1" applyAlignment="1">
      <alignment horizontal="center" vertical="top"/>
    </xf>
    <xf numFmtId="165" fontId="3" fillId="6" borderId="80" xfId="0" applyNumberFormat="1" applyFont="1" applyFill="1" applyBorder="1" applyAlignment="1">
      <alignment horizontal="center" vertical="top"/>
    </xf>
    <xf numFmtId="0" fontId="3" fillId="6" borderId="94" xfId="0" applyFont="1" applyFill="1" applyBorder="1" applyAlignment="1">
      <alignment horizontal="center" vertical="top"/>
    </xf>
    <xf numFmtId="49" fontId="31" fillId="6" borderId="17" xfId="0" applyNumberFormat="1" applyFont="1" applyFill="1" applyBorder="1" applyAlignment="1">
      <alignment horizontal="center" vertical="top"/>
    </xf>
    <xf numFmtId="0" fontId="30" fillId="6" borderId="36" xfId="0" applyFont="1" applyFill="1" applyBorder="1" applyAlignment="1">
      <alignment horizontal="center" vertical="center" textRotation="90" wrapText="1"/>
    </xf>
    <xf numFmtId="165" fontId="3" fillId="6" borderId="30" xfId="0" applyNumberFormat="1" applyFont="1" applyFill="1" applyBorder="1" applyAlignment="1">
      <alignment horizontal="center" vertical="top" wrapText="1"/>
    </xf>
    <xf numFmtId="3" fontId="3" fillId="6" borderId="98" xfId="0" applyNumberFormat="1" applyFont="1" applyFill="1" applyBorder="1" applyAlignment="1">
      <alignment horizontal="center" vertical="top" wrapText="1"/>
    </xf>
    <xf numFmtId="4" fontId="3" fillId="0" borderId="0" xfId="0" applyNumberFormat="1" applyFont="1" applyFill="1" applyAlignment="1">
      <alignment vertical="top"/>
    </xf>
    <xf numFmtId="0" fontId="3" fillId="6" borderId="73" xfId="0" applyFont="1" applyFill="1" applyBorder="1" applyAlignment="1">
      <alignment horizontal="center" vertical="center"/>
    </xf>
    <xf numFmtId="0" fontId="3" fillId="6" borderId="75" xfId="0" applyFont="1" applyFill="1" applyBorder="1" applyAlignment="1">
      <alignment horizontal="center" vertical="top"/>
    </xf>
    <xf numFmtId="0" fontId="3" fillId="6" borderId="76" xfId="0" applyFont="1" applyFill="1" applyBorder="1" applyAlignment="1">
      <alignment horizontal="center" vertical="top"/>
    </xf>
    <xf numFmtId="0" fontId="3" fillId="6" borderId="81" xfId="0" applyFont="1" applyFill="1" applyBorder="1" applyAlignment="1">
      <alignment horizontal="center" vertical="top"/>
    </xf>
    <xf numFmtId="3" fontId="3" fillId="6" borderId="68" xfId="0" applyNumberFormat="1" applyFont="1" applyFill="1" applyBorder="1" applyAlignment="1">
      <alignment horizontal="right" vertical="center"/>
    </xf>
    <xf numFmtId="0" fontId="3" fillId="0" borderId="68" xfId="0" applyFont="1" applyBorder="1" applyAlignment="1">
      <alignment vertical="center" wrapText="1"/>
    </xf>
    <xf numFmtId="0" fontId="3" fillId="6" borderId="94" xfId="0" applyFont="1" applyFill="1" applyBorder="1" applyAlignment="1">
      <alignment horizontal="center" vertical="center"/>
    </xf>
    <xf numFmtId="0" fontId="3" fillId="6" borderId="82" xfId="0" applyFont="1" applyFill="1" applyBorder="1" applyAlignment="1">
      <alignment vertical="top" wrapText="1"/>
    </xf>
    <xf numFmtId="165" fontId="3" fillId="0" borderId="39" xfId="0" applyNumberFormat="1" applyFont="1" applyFill="1" applyBorder="1" applyAlignment="1">
      <alignment horizontal="center" vertical="top"/>
    </xf>
    <xf numFmtId="165" fontId="3" fillId="0" borderId="54" xfId="0" applyNumberFormat="1" applyFont="1" applyFill="1" applyBorder="1" applyAlignment="1">
      <alignment horizontal="center" vertical="top"/>
    </xf>
    <xf numFmtId="1" fontId="3" fillId="6" borderId="77" xfId="0" applyNumberFormat="1" applyFont="1" applyFill="1" applyBorder="1" applyAlignment="1">
      <alignment horizontal="center" vertical="top" wrapText="1"/>
    </xf>
    <xf numFmtId="0" fontId="3" fillId="6" borderId="47" xfId="0" applyNumberFormat="1" applyFont="1" applyFill="1" applyBorder="1" applyAlignment="1">
      <alignment vertical="top" wrapText="1"/>
    </xf>
    <xf numFmtId="0" fontId="3" fillId="6" borderId="17" xfId="0" applyNumberFormat="1" applyFont="1" applyFill="1" applyBorder="1" applyAlignment="1">
      <alignment vertical="top" wrapText="1"/>
    </xf>
    <xf numFmtId="3" fontId="3" fillId="6" borderId="7" xfId="0" applyNumberFormat="1" applyFont="1" applyFill="1" applyBorder="1" applyAlignment="1">
      <alignment vertical="top" wrapText="1"/>
    </xf>
    <xf numFmtId="0" fontId="21" fillId="0" borderId="9" xfId="0" applyFont="1" applyBorder="1" applyAlignment="1">
      <alignment vertical="top" wrapText="1"/>
    </xf>
    <xf numFmtId="0" fontId="3" fillId="6" borderId="44"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49" fontId="5" fillId="6" borderId="29" xfId="0" applyNumberFormat="1" applyFont="1" applyFill="1" applyBorder="1" applyAlignment="1">
      <alignment horizontal="center" vertical="top"/>
    </xf>
    <xf numFmtId="0" fontId="3" fillId="6" borderId="100" xfId="0" applyFont="1" applyFill="1" applyBorder="1" applyAlignment="1">
      <alignment vertical="top" wrapText="1"/>
    </xf>
    <xf numFmtId="165" fontId="3" fillId="6" borderId="82" xfId="0" applyNumberFormat="1" applyFont="1" applyFill="1" applyBorder="1" applyAlignment="1">
      <alignment vertical="top" wrapText="1"/>
    </xf>
    <xf numFmtId="0" fontId="3" fillId="6" borderId="75" xfId="0" applyFont="1" applyFill="1" applyBorder="1" applyAlignment="1">
      <alignment horizontal="left" vertical="top" wrapText="1"/>
    </xf>
    <xf numFmtId="3" fontId="3" fillId="6" borderId="45" xfId="1" applyNumberFormat="1" applyFont="1" applyFill="1" applyBorder="1" applyAlignment="1">
      <alignment horizontal="center" vertical="top"/>
    </xf>
    <xf numFmtId="0" fontId="3" fillId="6" borderId="29" xfId="0" applyFont="1" applyFill="1" applyBorder="1" applyAlignment="1">
      <alignment vertical="top"/>
    </xf>
    <xf numFmtId="0" fontId="16" fillId="0" borderId="0" xfId="0" applyFont="1" applyBorder="1" applyAlignment="1">
      <alignment vertical="top"/>
    </xf>
    <xf numFmtId="49" fontId="5" fillId="6" borderId="2" xfId="0" applyNumberFormat="1" applyFont="1" applyFill="1" applyBorder="1" applyAlignment="1">
      <alignment horizontal="center" vertical="top" wrapText="1"/>
    </xf>
    <xf numFmtId="0" fontId="5" fillId="6" borderId="35" xfId="0" applyFont="1" applyFill="1" applyBorder="1" applyAlignment="1">
      <alignment horizontal="center" vertical="top" wrapText="1"/>
    </xf>
    <xf numFmtId="3" fontId="3" fillId="0" borderId="2"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165" fontId="3" fillId="6" borderId="21" xfId="1"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3" fontId="21" fillId="6" borderId="81" xfId="1" applyNumberFormat="1" applyFont="1" applyFill="1" applyBorder="1" applyAlignment="1">
      <alignment horizontal="center" vertical="top" wrapText="1"/>
    </xf>
    <xf numFmtId="3" fontId="3" fillId="6" borderId="19" xfId="1" applyNumberFormat="1" applyFont="1" applyFill="1" applyBorder="1" applyAlignment="1">
      <alignment horizontal="center" vertical="top" wrapText="1"/>
    </xf>
    <xf numFmtId="3" fontId="3" fillId="6" borderId="39" xfId="1" applyNumberFormat="1" applyFont="1" applyFill="1" applyBorder="1" applyAlignment="1">
      <alignment horizontal="center" vertical="top" wrapText="1"/>
    </xf>
    <xf numFmtId="3" fontId="3" fillId="6" borderId="1" xfId="1" applyNumberFormat="1" applyFont="1" applyFill="1" applyBorder="1" applyAlignment="1">
      <alignment horizontal="center" vertical="top" wrapText="1"/>
    </xf>
    <xf numFmtId="0" fontId="3" fillId="6" borderId="91" xfId="0" applyFont="1" applyFill="1" applyBorder="1" applyAlignment="1">
      <alignment horizontal="left" vertical="top" wrapText="1"/>
    </xf>
    <xf numFmtId="165" fontId="3" fillId="6" borderId="50" xfId="0" applyNumberFormat="1" applyFont="1" applyFill="1" applyBorder="1" applyAlignment="1">
      <alignment horizontal="center" vertical="top"/>
    </xf>
    <xf numFmtId="0" fontId="3" fillId="6" borderId="77" xfId="0" applyFont="1" applyFill="1" applyBorder="1" applyAlignment="1">
      <alignment horizontal="left" vertical="top" wrapText="1"/>
    </xf>
    <xf numFmtId="3" fontId="11" fillId="6" borderId="37" xfId="0" applyNumberFormat="1" applyFont="1" applyFill="1" applyBorder="1" applyAlignment="1">
      <alignment horizontal="center" vertical="top"/>
    </xf>
    <xf numFmtId="165" fontId="11" fillId="6" borderId="8" xfId="0" applyNumberFormat="1" applyFont="1" applyFill="1" applyBorder="1" applyAlignment="1">
      <alignment horizontal="center" vertical="top"/>
    </xf>
    <xf numFmtId="3" fontId="3" fillId="6" borderId="9" xfId="0" applyNumberFormat="1" applyFont="1" applyFill="1" applyBorder="1" applyAlignment="1">
      <alignment vertical="top" wrapText="1"/>
    </xf>
    <xf numFmtId="0" fontId="3" fillId="6" borderId="47" xfId="0" applyNumberFormat="1" applyFont="1" applyFill="1" applyBorder="1" applyAlignment="1">
      <alignment horizontal="center" vertical="top" wrapText="1"/>
    </xf>
    <xf numFmtId="0" fontId="3" fillId="6" borderId="5" xfId="0" applyFont="1" applyFill="1" applyBorder="1" applyAlignment="1">
      <alignment horizontal="center" vertical="top" wrapText="1"/>
    </xf>
    <xf numFmtId="0" fontId="3" fillId="6" borderId="100" xfId="1" applyFont="1" applyFill="1" applyBorder="1" applyAlignment="1">
      <alignment horizontal="left" vertical="top" wrapText="1"/>
    </xf>
    <xf numFmtId="3" fontId="3" fillId="6" borderId="104" xfId="1" applyNumberFormat="1" applyFont="1" applyFill="1" applyBorder="1" applyAlignment="1">
      <alignment horizontal="center" vertical="top" wrapText="1"/>
    </xf>
    <xf numFmtId="3" fontId="3" fillId="6" borderId="93" xfId="1" applyNumberFormat="1" applyFont="1" applyFill="1" applyBorder="1" applyAlignment="1">
      <alignment horizontal="center" vertical="top" wrapText="1"/>
    </xf>
    <xf numFmtId="0" fontId="3" fillId="6" borderId="28" xfId="1" applyFont="1" applyFill="1" applyBorder="1" applyAlignment="1">
      <alignment horizontal="left" vertical="top" wrapText="1"/>
    </xf>
    <xf numFmtId="3" fontId="3" fillId="6" borderId="30" xfId="1" applyNumberFormat="1" applyFont="1" applyFill="1" applyBorder="1" applyAlignment="1">
      <alignment horizontal="center" vertical="top" wrapText="1"/>
    </xf>
    <xf numFmtId="0" fontId="3" fillId="0" borderId="14" xfId="0" applyFont="1" applyFill="1" applyBorder="1" applyAlignment="1">
      <alignment vertical="top" wrapText="1"/>
    </xf>
    <xf numFmtId="165" fontId="5" fillId="4" borderId="20" xfId="0" applyNumberFormat="1" applyFont="1" applyFill="1" applyBorder="1" applyAlignment="1">
      <alignment horizontal="center" vertical="top" wrapText="1"/>
    </xf>
    <xf numFmtId="0" fontId="5" fillId="6" borderId="15" xfId="0" applyFont="1" applyFill="1" applyBorder="1" applyAlignment="1">
      <alignment horizontal="center" vertical="center"/>
    </xf>
    <xf numFmtId="0" fontId="28" fillId="6" borderId="21" xfId="0" applyFont="1" applyFill="1" applyBorder="1" applyAlignment="1">
      <alignment horizontal="center" vertical="top"/>
    </xf>
    <xf numFmtId="165" fontId="3" fillId="6" borderId="52" xfId="0" applyNumberFormat="1" applyFont="1" applyFill="1" applyBorder="1" applyAlignment="1">
      <alignment horizontal="right" vertical="top"/>
    </xf>
    <xf numFmtId="165" fontId="3" fillId="6" borderId="49" xfId="0" applyNumberFormat="1" applyFont="1" applyFill="1" applyBorder="1" applyAlignment="1">
      <alignment horizontal="right" vertical="top"/>
    </xf>
    <xf numFmtId="0" fontId="3" fillId="6" borderId="73" xfId="0" applyFont="1" applyFill="1" applyBorder="1" applyAlignment="1">
      <alignment horizontal="center" vertical="center" wrapText="1"/>
    </xf>
    <xf numFmtId="0" fontId="3" fillId="0" borderId="74" xfId="0" applyFont="1" applyBorder="1" applyAlignment="1">
      <alignment vertical="top" wrapText="1"/>
    </xf>
    <xf numFmtId="3" fontId="3" fillId="6" borderId="91" xfId="0" applyNumberFormat="1" applyFont="1" applyFill="1" applyBorder="1" applyAlignment="1">
      <alignment horizontal="center" vertical="top" wrapText="1"/>
    </xf>
    <xf numFmtId="0" fontId="21" fillId="6" borderId="89" xfId="0" applyFont="1" applyFill="1" applyBorder="1" applyAlignment="1">
      <alignment vertical="top" wrapText="1"/>
    </xf>
    <xf numFmtId="0" fontId="3" fillId="6" borderId="39" xfId="0" applyFont="1" applyFill="1" applyBorder="1" applyAlignment="1">
      <alignment vertical="top" wrapText="1"/>
    </xf>
    <xf numFmtId="0" fontId="21" fillId="6" borderId="37" xfId="0" applyFont="1" applyFill="1" applyBorder="1" applyAlignment="1">
      <alignment vertical="top" wrapText="1"/>
    </xf>
    <xf numFmtId="1" fontId="3" fillId="6" borderId="108" xfId="0" applyNumberFormat="1" applyFont="1" applyFill="1" applyBorder="1" applyAlignment="1">
      <alignment horizontal="center" vertical="top" wrapText="1"/>
    </xf>
    <xf numFmtId="1" fontId="3" fillId="6" borderId="71" xfId="0" applyNumberFormat="1" applyFont="1" applyFill="1" applyBorder="1" applyAlignment="1">
      <alignment horizontal="center" vertical="top" wrapText="1"/>
    </xf>
    <xf numFmtId="0" fontId="3" fillId="0" borderId="31" xfId="0"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0" fontId="3" fillId="6" borderId="15" xfId="0" applyFont="1" applyFill="1" applyBorder="1" applyAlignment="1">
      <alignment vertical="top" wrapText="1"/>
    </xf>
    <xf numFmtId="0" fontId="3" fillId="6" borderId="42" xfId="0" applyFont="1" applyFill="1" applyBorder="1" applyAlignment="1">
      <alignment horizontal="left" vertical="top" wrapText="1"/>
    </xf>
    <xf numFmtId="0" fontId="3" fillId="6" borderId="9"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7" xfId="0" applyFont="1" applyFill="1" applyBorder="1" applyAlignment="1">
      <alignment horizontal="left" vertical="top" wrapText="1"/>
    </xf>
    <xf numFmtId="0" fontId="3" fillId="6" borderId="88" xfId="0" applyFont="1" applyFill="1" applyBorder="1" applyAlignment="1">
      <alignment vertical="top" wrapText="1"/>
    </xf>
    <xf numFmtId="0" fontId="3" fillId="6" borderId="9" xfId="1" applyFont="1" applyFill="1" applyBorder="1" applyAlignment="1">
      <alignment vertical="top" wrapText="1"/>
    </xf>
    <xf numFmtId="49" fontId="5" fillId="10" borderId="7"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165" fontId="3" fillId="0" borderId="5" xfId="0" applyNumberFormat="1" applyFont="1" applyFill="1" applyBorder="1" applyAlignment="1">
      <alignment horizontal="center" vertical="top"/>
    </xf>
    <xf numFmtId="165" fontId="3" fillId="0" borderId="8"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3" fillId="6" borderId="48"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0" fontId="3" fillId="6" borderId="42" xfId="1" applyFont="1" applyFill="1" applyBorder="1" applyAlignment="1">
      <alignment vertical="top" wrapText="1"/>
    </xf>
    <xf numFmtId="0" fontId="3" fillId="6" borderId="15" xfId="0" applyFont="1" applyFill="1" applyBorder="1" applyAlignment="1">
      <alignment horizontal="center" vertical="center" textRotation="90" wrapText="1"/>
    </xf>
    <xf numFmtId="0" fontId="3" fillId="6" borderId="9" xfId="0" applyFont="1" applyFill="1" applyBorder="1" applyAlignment="1">
      <alignment horizontal="left" vertical="top" wrapText="1"/>
    </xf>
    <xf numFmtId="0" fontId="3" fillId="6" borderId="31" xfId="0" applyFont="1" applyFill="1" applyBorder="1" applyAlignment="1">
      <alignment horizontal="center" vertical="center" textRotation="90" wrapText="1"/>
    </xf>
    <xf numFmtId="165" fontId="3" fillId="0" borderId="37"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0" fontId="5" fillId="0" borderId="0" xfId="0" applyNumberFormat="1" applyFont="1" applyAlignment="1">
      <alignment horizontal="center" vertical="top"/>
    </xf>
    <xf numFmtId="3" fontId="3" fillId="6" borderId="0" xfId="0" applyNumberFormat="1" applyFont="1" applyFill="1" applyBorder="1" applyAlignment="1">
      <alignment horizontal="center" vertical="top" wrapText="1"/>
    </xf>
    <xf numFmtId="0" fontId="21" fillId="6" borderId="28" xfId="0" applyFont="1" applyFill="1" applyBorder="1" applyAlignment="1">
      <alignment horizontal="left" vertical="top" wrapText="1"/>
    </xf>
    <xf numFmtId="0" fontId="3" fillId="6" borderId="47" xfId="0" applyFont="1" applyFill="1" applyBorder="1" applyAlignment="1">
      <alignment horizontal="center" vertical="center" textRotation="90" wrapText="1"/>
    </xf>
    <xf numFmtId="0" fontId="3" fillId="6" borderId="89" xfId="0" applyFont="1" applyFill="1" applyBorder="1" applyAlignment="1">
      <alignment vertical="top" wrapText="1"/>
    </xf>
    <xf numFmtId="0" fontId="3" fillId="6" borderId="8" xfId="0"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15" xfId="0" applyFont="1" applyFill="1" applyBorder="1" applyAlignment="1">
      <alignment horizontal="left" vertical="top" wrapText="1"/>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88" xfId="0" applyFont="1" applyFill="1" applyBorder="1" applyAlignment="1">
      <alignment vertical="top" wrapText="1"/>
    </xf>
    <xf numFmtId="0" fontId="3" fillId="6" borderId="9" xfId="0" applyFont="1" applyFill="1" applyBorder="1" applyAlignment="1">
      <alignment horizontal="left" vertical="top" wrapText="1"/>
    </xf>
    <xf numFmtId="0" fontId="0" fillId="6" borderId="15" xfId="0" applyFill="1" applyBorder="1" applyAlignment="1">
      <alignment horizontal="left" vertical="top" wrapText="1"/>
    </xf>
    <xf numFmtId="0" fontId="3" fillId="6" borderId="42" xfId="1" applyFont="1" applyFill="1" applyBorder="1" applyAlignment="1">
      <alignment vertical="top" wrapText="1"/>
    </xf>
    <xf numFmtId="49" fontId="5" fillId="6" borderId="4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165" fontId="3" fillId="0" borderId="50" xfId="0" applyNumberFormat="1" applyFont="1" applyFill="1" applyBorder="1" applyAlignment="1">
      <alignment horizontal="center" vertical="top"/>
    </xf>
    <xf numFmtId="0" fontId="3" fillId="6" borderId="42" xfId="0" applyFont="1" applyFill="1" applyBorder="1" applyAlignment="1">
      <alignment horizontal="left" vertical="top" wrapText="1"/>
    </xf>
    <xf numFmtId="0" fontId="3" fillId="6" borderId="89" xfId="0" applyFont="1" applyFill="1" applyBorder="1" applyAlignment="1">
      <alignment horizontal="left" vertical="top" wrapText="1"/>
    </xf>
    <xf numFmtId="165" fontId="3" fillId="0" borderId="8" xfId="0" applyNumberFormat="1" applyFont="1" applyFill="1" applyBorder="1" applyAlignment="1">
      <alignment horizontal="center" vertical="top"/>
    </xf>
    <xf numFmtId="0" fontId="3" fillId="0" borderId="9" xfId="0" applyFont="1" applyFill="1" applyBorder="1" applyAlignment="1">
      <alignment horizontal="left" vertical="top" wrapText="1"/>
    </xf>
    <xf numFmtId="49" fontId="5" fillId="10" borderId="10" xfId="0" applyNumberFormat="1" applyFont="1" applyFill="1" applyBorder="1" applyAlignment="1">
      <alignment horizontal="center" vertical="top"/>
    </xf>
    <xf numFmtId="0" fontId="5" fillId="6" borderId="15" xfId="0" applyFont="1" applyFill="1" applyBorder="1" applyAlignment="1">
      <alignment horizontal="left" vertical="top" wrapText="1"/>
    </xf>
    <xf numFmtId="0" fontId="3" fillId="6" borderId="9" xfId="0" applyFont="1" applyFill="1" applyBorder="1" applyAlignment="1">
      <alignment vertical="top" wrapText="1"/>
    </xf>
    <xf numFmtId="0" fontId="3" fillId="6" borderId="28" xfId="0" applyFont="1" applyFill="1" applyBorder="1" applyAlignment="1">
      <alignment horizontal="left" vertical="top" wrapText="1"/>
    </xf>
    <xf numFmtId="3" fontId="3" fillId="6" borderId="0" xfId="0" applyNumberFormat="1" applyFont="1" applyFill="1" applyBorder="1" applyAlignment="1">
      <alignment horizontal="center" vertical="top" wrapText="1"/>
    </xf>
    <xf numFmtId="0" fontId="3" fillId="6" borderId="42" xfId="0" applyFont="1" applyFill="1" applyBorder="1" applyAlignment="1">
      <alignment vertical="top" wrapText="1"/>
    </xf>
    <xf numFmtId="0" fontId="3" fillId="6" borderId="8" xfId="0" applyFont="1" applyFill="1" applyBorder="1" applyAlignment="1">
      <alignment horizontal="center" vertical="top" wrapText="1"/>
    </xf>
    <xf numFmtId="0" fontId="3" fillId="6" borderId="37" xfId="0" applyFont="1" applyFill="1" applyBorder="1" applyAlignment="1">
      <alignment horizontal="left" vertical="top" wrapText="1"/>
    </xf>
    <xf numFmtId="0" fontId="7" fillId="6" borderId="28" xfId="0" applyFont="1" applyFill="1" applyBorder="1" applyAlignment="1">
      <alignment vertical="top" wrapText="1"/>
    </xf>
    <xf numFmtId="0" fontId="3" fillId="0" borderId="36" xfId="0" applyFont="1" applyFill="1" applyBorder="1" applyAlignment="1">
      <alignment horizontal="center" vertical="top" wrapText="1"/>
    </xf>
    <xf numFmtId="0" fontId="25" fillId="6" borderId="100" xfId="0" applyFont="1" applyFill="1" applyBorder="1" applyAlignment="1">
      <alignment vertical="top" wrapText="1"/>
    </xf>
    <xf numFmtId="1" fontId="21" fillId="6" borderId="87"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xf>
    <xf numFmtId="3" fontId="3" fillId="6" borderId="18"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9" fillId="0" borderId="0" xfId="0" applyFont="1" applyFill="1" applyBorder="1" applyAlignment="1">
      <alignment vertical="top" wrapText="1"/>
    </xf>
    <xf numFmtId="165" fontId="3" fillId="0" borderId="15"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0" fontId="3" fillId="6" borderId="38" xfId="0" applyFont="1" applyFill="1" applyBorder="1" applyAlignment="1">
      <alignment horizontal="center" vertical="center" textRotation="90" wrapText="1"/>
    </xf>
    <xf numFmtId="0" fontId="9" fillId="0" borderId="38" xfId="0" applyFont="1" applyFill="1" applyBorder="1" applyAlignment="1">
      <alignment vertical="top" wrapText="1"/>
    </xf>
    <xf numFmtId="165" fontId="3" fillId="0" borderId="25" xfId="0" applyNumberFormat="1" applyFont="1" applyFill="1" applyBorder="1" applyAlignment="1">
      <alignment horizontal="center" vertical="top" wrapText="1"/>
    </xf>
    <xf numFmtId="165" fontId="3" fillId="0" borderId="38" xfId="0" applyNumberFormat="1" applyFont="1" applyFill="1" applyBorder="1" applyAlignment="1">
      <alignment horizontal="center" vertical="top" wrapText="1"/>
    </xf>
    <xf numFmtId="165" fontId="3" fillId="0" borderId="26" xfId="0" applyNumberFormat="1" applyFont="1" applyFill="1" applyBorder="1" applyAlignment="1">
      <alignment horizontal="center" vertical="top" wrapText="1"/>
    </xf>
    <xf numFmtId="0" fontId="9" fillId="6" borderId="0" xfId="0" applyFont="1" applyFill="1" applyBorder="1" applyAlignment="1">
      <alignment vertical="top" wrapText="1"/>
    </xf>
    <xf numFmtId="49" fontId="3" fillId="6" borderId="45" xfId="0" applyNumberFormat="1" applyFont="1" applyFill="1" applyBorder="1" applyAlignment="1">
      <alignment horizontal="center" vertical="top" wrapText="1"/>
    </xf>
    <xf numFmtId="49" fontId="3" fillId="6" borderId="1" xfId="0" applyNumberFormat="1" applyFont="1" applyFill="1" applyBorder="1" applyAlignment="1">
      <alignment horizontal="center" vertical="top" wrapText="1"/>
    </xf>
    <xf numFmtId="0" fontId="3" fillId="0" borderId="7" xfId="0" applyFont="1" applyFill="1" applyBorder="1" applyAlignment="1">
      <alignment vertical="top" wrapText="1"/>
    </xf>
    <xf numFmtId="0" fontId="21" fillId="6" borderId="23" xfId="0" applyFont="1" applyFill="1" applyBorder="1" applyAlignment="1">
      <alignment horizontal="left" vertical="top" wrapText="1"/>
    </xf>
    <xf numFmtId="0" fontId="1" fillId="0" borderId="23" xfId="0" applyFont="1" applyBorder="1" applyAlignment="1">
      <alignment horizontal="center" vertical="center" textRotation="90" wrapText="1"/>
    </xf>
    <xf numFmtId="0" fontId="3" fillId="0" borderId="42" xfId="0" applyFont="1" applyFill="1" applyBorder="1" applyAlignment="1">
      <alignment vertical="top" wrapText="1"/>
    </xf>
    <xf numFmtId="0" fontId="27" fillId="6" borderId="15" xfId="0" applyFont="1" applyFill="1" applyBorder="1" applyAlignment="1">
      <alignment horizontal="left" vertical="top" wrapText="1"/>
    </xf>
    <xf numFmtId="165" fontId="3" fillId="6" borderId="39" xfId="1" applyNumberFormat="1" applyFont="1" applyFill="1" applyBorder="1" applyAlignment="1">
      <alignment horizontal="center" vertical="top" wrapText="1"/>
    </xf>
    <xf numFmtId="165" fontId="3" fillId="6" borderId="1" xfId="1" applyNumberFormat="1" applyFont="1" applyFill="1" applyBorder="1" applyAlignment="1">
      <alignment horizontal="center" vertical="top" wrapText="1"/>
    </xf>
    <xf numFmtId="0" fontId="3" fillId="6" borderId="36" xfId="0" applyFont="1" applyFill="1" applyBorder="1" applyAlignment="1">
      <alignment horizontal="center" vertical="center" textRotation="90"/>
    </xf>
    <xf numFmtId="0" fontId="2" fillId="6" borderId="31" xfId="0" applyFont="1" applyFill="1" applyBorder="1" applyAlignment="1">
      <alignment horizontal="center" vertical="center" textRotation="90"/>
    </xf>
    <xf numFmtId="0" fontId="3" fillId="6" borderId="83" xfId="1" applyFont="1" applyFill="1" applyBorder="1" applyAlignment="1">
      <alignment vertical="top" wrapText="1"/>
    </xf>
    <xf numFmtId="0" fontId="25" fillId="6" borderId="88" xfId="0" applyFont="1" applyFill="1" applyBorder="1" applyAlignment="1">
      <alignment horizontal="left" vertical="top" wrapText="1"/>
    </xf>
    <xf numFmtId="3" fontId="3" fillId="6" borderId="101" xfId="0" applyNumberFormat="1" applyFont="1" applyFill="1" applyBorder="1" applyAlignment="1">
      <alignment horizontal="center" vertical="top" wrapText="1"/>
    </xf>
    <xf numFmtId="0" fontId="3" fillId="2" borderId="42" xfId="0" applyFont="1" applyFill="1" applyBorder="1" applyAlignment="1">
      <alignment horizontal="left" vertical="top" wrapText="1"/>
    </xf>
    <xf numFmtId="165" fontId="3" fillId="2" borderId="39" xfId="0" applyNumberFormat="1" applyFont="1" applyFill="1" applyBorder="1" applyAlignment="1">
      <alignment horizontal="center" vertical="top"/>
    </xf>
    <xf numFmtId="165" fontId="3" fillId="2" borderId="45" xfId="0" applyNumberFormat="1" applyFont="1" applyFill="1" applyBorder="1" applyAlignment="1">
      <alignment horizontal="center" vertical="top"/>
    </xf>
    <xf numFmtId="165" fontId="3" fillId="2" borderId="1" xfId="0" applyNumberFormat="1" applyFont="1" applyFill="1" applyBorder="1" applyAlignment="1">
      <alignment horizontal="center" vertical="top"/>
    </xf>
    <xf numFmtId="1" fontId="3" fillId="6" borderId="103" xfId="1" applyNumberFormat="1" applyFont="1" applyFill="1" applyBorder="1" applyAlignment="1">
      <alignment horizontal="center" vertical="top" wrapText="1"/>
    </xf>
    <xf numFmtId="1" fontId="3" fillId="6" borderId="81" xfId="1" applyNumberFormat="1" applyFont="1" applyFill="1" applyBorder="1" applyAlignment="1">
      <alignment horizontal="center" vertical="top" wrapText="1"/>
    </xf>
    <xf numFmtId="3" fontId="3" fillId="6" borderId="81" xfId="1" applyNumberFormat="1" applyFont="1" applyFill="1" applyBorder="1" applyAlignment="1">
      <alignment horizontal="center" vertical="top" wrapText="1"/>
    </xf>
    <xf numFmtId="165" fontId="3" fillId="6" borderId="91" xfId="0" applyNumberFormat="1" applyFont="1" applyFill="1" applyBorder="1" applyAlignment="1">
      <alignment horizontal="center" vertical="top" wrapText="1"/>
    </xf>
    <xf numFmtId="165" fontId="3" fillId="6" borderId="101" xfId="0" applyNumberFormat="1" applyFont="1" applyFill="1" applyBorder="1" applyAlignment="1">
      <alignment horizontal="center" vertical="top" wrapText="1"/>
    </xf>
    <xf numFmtId="0" fontId="30" fillId="6" borderId="31" xfId="0" applyFont="1" applyFill="1" applyBorder="1" applyAlignment="1">
      <alignment horizontal="center" vertical="center" textRotation="90" wrapText="1"/>
    </xf>
    <xf numFmtId="0" fontId="0" fillId="6" borderId="23" xfId="0" applyFill="1" applyBorder="1" applyAlignment="1"/>
    <xf numFmtId="49" fontId="5" fillId="6" borderId="1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49" fontId="5" fillId="3" borderId="4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3" fillId="6" borderId="42" xfId="0" applyFont="1" applyFill="1" applyBorder="1" applyAlignment="1">
      <alignment vertical="top" wrapText="1"/>
    </xf>
    <xf numFmtId="0" fontId="3" fillId="6" borderId="9" xfId="0" applyFont="1" applyFill="1" applyBorder="1" applyAlignment="1">
      <alignment vertical="top" wrapText="1"/>
    </xf>
    <xf numFmtId="0" fontId="7" fillId="6" borderId="15" xfId="0" applyFont="1" applyFill="1" applyBorder="1" applyAlignment="1">
      <alignment vertical="top" wrapText="1"/>
    </xf>
    <xf numFmtId="0" fontId="3" fillId="6" borderId="15" xfId="0" applyFont="1" applyFill="1" applyBorder="1" applyAlignment="1">
      <alignment vertical="top" wrapText="1"/>
    </xf>
    <xf numFmtId="49" fontId="5" fillId="6" borderId="15" xfId="0" applyNumberFormat="1" applyFont="1" applyFill="1" applyBorder="1" applyAlignment="1">
      <alignment horizontal="center" vertical="top" wrapText="1"/>
    </xf>
    <xf numFmtId="0" fontId="5" fillId="6" borderId="25" xfId="0" applyFont="1" applyFill="1" applyBorder="1" applyAlignment="1">
      <alignment vertical="top" wrapText="1"/>
    </xf>
    <xf numFmtId="0" fontId="5" fillId="6" borderId="25" xfId="0" applyFont="1" applyFill="1" applyBorder="1" applyAlignment="1">
      <alignment horizontal="left" vertical="top" wrapText="1"/>
    </xf>
    <xf numFmtId="0" fontId="3" fillId="6" borderId="88" xfId="0" applyFont="1" applyFill="1" applyBorder="1" applyAlignment="1">
      <alignment vertical="top" wrapText="1"/>
    </xf>
    <xf numFmtId="165" fontId="3" fillId="6" borderId="37" xfId="0" applyNumberFormat="1" applyFont="1" applyFill="1" applyBorder="1" applyAlignment="1">
      <alignment horizontal="center" vertical="top"/>
    </xf>
    <xf numFmtId="0" fontId="3" fillId="6" borderId="9" xfId="1" applyFont="1" applyFill="1" applyBorder="1" applyAlignment="1">
      <alignment vertical="top"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49" fontId="5" fillId="6" borderId="47" xfId="0" applyNumberFormat="1" applyFont="1" applyFill="1" applyBorder="1" applyAlignment="1">
      <alignment horizontal="center" vertical="top"/>
    </xf>
    <xf numFmtId="0" fontId="3" fillId="6" borderId="42" xfId="1" applyFont="1" applyFill="1" applyBorder="1" applyAlignment="1">
      <alignment vertical="top" wrapText="1"/>
    </xf>
    <xf numFmtId="0" fontId="5" fillId="6" borderId="7" xfId="0" applyFont="1" applyFill="1" applyBorder="1" applyAlignment="1">
      <alignment vertical="top" wrapText="1"/>
    </xf>
    <xf numFmtId="0" fontId="3" fillId="6" borderId="8" xfId="0" applyFont="1" applyFill="1" applyBorder="1" applyAlignment="1">
      <alignment horizontal="center" vertical="top" wrapText="1"/>
    </xf>
    <xf numFmtId="0" fontId="3" fillId="0" borderId="15" xfId="0" applyFont="1" applyFill="1" applyBorder="1" applyAlignment="1">
      <alignment horizontal="center" vertical="top"/>
    </xf>
    <xf numFmtId="0" fontId="3" fillId="0" borderId="91" xfId="0" applyFont="1" applyFill="1" applyBorder="1" applyAlignment="1">
      <alignment horizontal="center" vertical="center"/>
    </xf>
    <xf numFmtId="0" fontId="3" fillId="0" borderId="99" xfId="0" applyFont="1" applyFill="1" applyBorder="1" applyAlignment="1">
      <alignment horizontal="center" vertical="center"/>
    </xf>
    <xf numFmtId="0" fontId="3" fillId="0" borderId="93" xfId="0" applyFont="1" applyFill="1" applyBorder="1" applyAlignment="1">
      <alignment horizontal="center" vertical="center"/>
    </xf>
    <xf numFmtId="0" fontId="3" fillId="0" borderId="9" xfId="0" applyFont="1" applyBorder="1" applyAlignment="1">
      <alignment vertical="top"/>
    </xf>
    <xf numFmtId="165" fontId="3" fillId="2" borderId="43" xfId="0" applyNumberFormat="1" applyFont="1" applyFill="1" applyBorder="1" applyAlignment="1">
      <alignment horizontal="center" vertical="top"/>
    </xf>
    <xf numFmtId="165" fontId="3" fillId="2" borderId="62" xfId="0" applyNumberFormat="1" applyFont="1" applyFill="1" applyBorder="1" applyAlignment="1">
      <alignment horizontal="center" vertical="top"/>
    </xf>
    <xf numFmtId="165" fontId="3" fillId="2" borderId="21" xfId="0" applyNumberFormat="1" applyFont="1" applyFill="1" applyBorder="1" applyAlignment="1">
      <alignment horizontal="center" vertical="top"/>
    </xf>
    <xf numFmtId="3" fontId="15" fillId="0" borderId="17" xfId="0" applyNumberFormat="1" applyFont="1" applyBorder="1" applyAlignment="1">
      <alignment horizontal="center" vertical="top"/>
    </xf>
    <xf numFmtId="0" fontId="5" fillId="6" borderId="15" xfId="0" applyFont="1" applyFill="1" applyBorder="1" applyAlignment="1">
      <alignment horizontal="center" vertical="top" wrapText="1"/>
    </xf>
    <xf numFmtId="0" fontId="3" fillId="6" borderId="88" xfId="0" applyFont="1" applyFill="1" applyBorder="1" applyAlignment="1">
      <alignment vertical="top" wrapText="1"/>
    </xf>
    <xf numFmtId="165" fontId="3" fillId="6" borderId="3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8" xfId="0" applyFont="1" applyFill="1" applyBorder="1" applyAlignment="1">
      <alignment horizontal="center" vertical="top" wrapText="1"/>
    </xf>
    <xf numFmtId="49" fontId="3" fillId="6" borderId="96" xfId="0" applyNumberFormat="1" applyFont="1" applyFill="1" applyBorder="1" applyAlignment="1">
      <alignment horizontal="center" vertical="center" wrapText="1"/>
    </xf>
    <xf numFmtId="0" fontId="3" fillId="6" borderId="106" xfId="0" applyFont="1" applyFill="1" applyBorder="1" applyAlignment="1">
      <alignment horizontal="left" vertical="top" wrapText="1"/>
    </xf>
    <xf numFmtId="0" fontId="3" fillId="6" borderId="91" xfId="0" applyFont="1" applyFill="1" applyBorder="1" applyAlignment="1">
      <alignment vertical="top"/>
    </xf>
    <xf numFmtId="0" fontId="3" fillId="6" borderId="9" xfId="0" applyFont="1" applyFill="1" applyBorder="1" applyAlignment="1">
      <alignment horizontal="left" vertical="top" wrapText="1"/>
    </xf>
    <xf numFmtId="0" fontId="3" fillId="6" borderId="8" xfId="0" applyFont="1" applyFill="1" applyBorder="1" applyAlignment="1">
      <alignment horizontal="center" vertical="top"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2" fillId="6" borderId="15"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xf>
    <xf numFmtId="0" fontId="3" fillId="6" borderId="19" xfId="0" applyFont="1" applyFill="1" applyBorder="1" applyAlignment="1">
      <alignment horizontal="center" vertical="center" textRotation="90" wrapText="1"/>
    </xf>
    <xf numFmtId="165" fontId="3" fillId="6" borderId="37" xfId="0" applyNumberFormat="1" applyFont="1" applyFill="1" applyBorder="1" applyAlignment="1">
      <alignment horizontal="center" vertical="top"/>
    </xf>
    <xf numFmtId="0" fontId="3" fillId="6" borderId="42" xfId="0" applyFont="1" applyFill="1" applyBorder="1" applyAlignment="1">
      <alignment vertical="top" wrapText="1"/>
    </xf>
    <xf numFmtId="0" fontId="3" fillId="6" borderId="8" xfId="0" applyFont="1" applyFill="1" applyBorder="1" applyAlignment="1">
      <alignment horizontal="center" vertical="top" wrapText="1"/>
    </xf>
    <xf numFmtId="165" fontId="3" fillId="6" borderId="5" xfId="0" applyNumberFormat="1" applyFont="1" applyFill="1" applyBorder="1" applyAlignment="1">
      <alignment horizontal="center" vertical="top" wrapText="1"/>
    </xf>
    <xf numFmtId="165" fontId="5" fillId="6" borderId="21" xfId="0" applyNumberFormat="1" applyFont="1" applyFill="1" applyBorder="1" applyAlignment="1">
      <alignment horizontal="center" vertical="top"/>
    </xf>
    <xf numFmtId="0" fontId="3" fillId="12" borderId="39" xfId="0" applyFont="1" applyFill="1" applyBorder="1" applyAlignment="1">
      <alignment horizontal="center" vertical="top" wrapText="1"/>
    </xf>
    <xf numFmtId="0" fontId="3" fillId="12" borderId="1" xfId="0" applyFont="1" applyFill="1" applyBorder="1" applyAlignment="1">
      <alignment horizontal="center" vertical="top" wrapText="1"/>
    </xf>
    <xf numFmtId="49" fontId="5" fillId="6" borderId="91" xfId="0" applyNumberFormat="1" applyFont="1" applyFill="1" applyBorder="1" applyAlignment="1">
      <alignment horizontal="center" vertical="top"/>
    </xf>
    <xf numFmtId="0" fontId="3" fillId="6" borderId="91" xfId="0" applyFont="1" applyFill="1" applyBorder="1" applyAlignment="1">
      <alignment horizontal="center" vertical="center" textRotation="90" wrapText="1"/>
    </xf>
    <xf numFmtId="0" fontId="3" fillId="6" borderId="95" xfId="0" applyFont="1" applyFill="1" applyBorder="1" applyAlignment="1">
      <alignment horizontal="center" vertical="top"/>
    </xf>
    <xf numFmtId="49" fontId="5" fillId="6" borderId="95" xfId="0" applyNumberFormat="1" applyFont="1" applyFill="1" applyBorder="1" applyAlignment="1">
      <alignment horizontal="center" vertical="top"/>
    </xf>
    <xf numFmtId="0" fontId="16" fillId="6" borderId="28" xfId="0" applyFont="1" applyFill="1" applyBorder="1" applyAlignment="1">
      <alignment horizontal="left" vertical="top" wrapText="1"/>
    </xf>
    <xf numFmtId="3" fontId="15" fillId="8" borderId="32" xfId="0" applyNumberFormat="1" applyFont="1" applyFill="1" applyBorder="1" applyAlignment="1">
      <alignment horizontal="center" vertical="top"/>
    </xf>
    <xf numFmtId="0" fontId="3" fillId="6" borderId="18" xfId="0" applyFont="1" applyFill="1" applyBorder="1" applyAlignment="1">
      <alignment horizontal="center" vertical="center" textRotation="90" wrapText="1"/>
    </xf>
    <xf numFmtId="165" fontId="3" fillId="6" borderId="37" xfId="0" applyNumberFormat="1" applyFont="1" applyFill="1" applyBorder="1" applyAlignment="1">
      <alignment horizontal="center" vertical="top"/>
    </xf>
    <xf numFmtId="49" fontId="5" fillId="6" borderId="47" xfId="0" applyNumberFormat="1" applyFont="1" applyFill="1" applyBorder="1" applyAlignment="1">
      <alignment horizontal="center" vertical="top"/>
    </xf>
    <xf numFmtId="0" fontId="3" fillId="6" borderId="64" xfId="0" applyFont="1" applyFill="1" applyBorder="1" applyAlignment="1">
      <alignment horizontal="center" vertical="center" textRotation="90" wrapText="1"/>
    </xf>
    <xf numFmtId="0" fontId="5" fillId="6" borderId="26" xfId="0" applyFont="1" applyFill="1" applyBorder="1" applyAlignment="1">
      <alignment horizontal="center" vertical="top"/>
    </xf>
    <xf numFmtId="0" fontId="3" fillId="6" borderId="43" xfId="0" applyFont="1" applyFill="1" applyBorder="1" applyAlignment="1">
      <alignment horizontal="center" vertical="top"/>
    </xf>
    <xf numFmtId="0" fontId="3" fillId="6" borderId="68" xfId="0" applyFont="1" applyFill="1" applyBorder="1" applyAlignment="1">
      <alignment vertical="center" wrapText="1"/>
    </xf>
    <xf numFmtId="0" fontId="5" fillId="6" borderId="30" xfId="0" applyFont="1" applyFill="1" applyBorder="1" applyAlignment="1">
      <alignment horizontal="center" vertical="top"/>
    </xf>
    <xf numFmtId="0" fontId="3" fillId="6" borderId="37" xfId="0" applyFont="1" applyFill="1" applyBorder="1" applyAlignment="1">
      <alignment vertical="center"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0" fontId="3" fillId="6" borderId="15" xfId="0" applyFont="1" applyFill="1" applyBorder="1" applyAlignment="1">
      <alignment horizontal="left" vertical="top" wrapText="1"/>
    </xf>
    <xf numFmtId="49" fontId="5" fillId="3" borderId="47" xfId="0" applyNumberFormat="1" applyFont="1" applyFill="1" applyBorder="1" applyAlignment="1">
      <alignment horizontal="center" vertical="top"/>
    </xf>
    <xf numFmtId="0" fontId="3" fillId="6" borderId="9" xfId="0" applyFont="1" applyFill="1" applyBorder="1" applyAlignment="1">
      <alignment vertical="top" wrapText="1"/>
    </xf>
    <xf numFmtId="49" fontId="5" fillId="6" borderId="47" xfId="0" applyNumberFormat="1" applyFont="1" applyFill="1" applyBorder="1" applyAlignment="1">
      <alignment horizontal="center" vertical="top"/>
    </xf>
    <xf numFmtId="0" fontId="3" fillId="6" borderId="8" xfId="0" applyFont="1" applyFill="1" applyBorder="1" applyAlignment="1">
      <alignment horizontal="center" vertical="top" wrapText="1"/>
    </xf>
    <xf numFmtId="165" fontId="3" fillId="6" borderId="102" xfId="0" applyNumberFormat="1" applyFont="1" applyFill="1" applyBorder="1" applyAlignment="1">
      <alignment horizontal="right" vertical="top"/>
    </xf>
    <xf numFmtId="49" fontId="5" fillId="6" borderId="1" xfId="0" applyNumberFormat="1" applyFont="1" applyFill="1" applyBorder="1" applyAlignment="1">
      <alignment horizontal="center" vertical="top"/>
    </xf>
    <xf numFmtId="3" fontId="3" fillId="6" borderId="38" xfId="0" applyNumberFormat="1" applyFont="1" applyFill="1" applyBorder="1" applyAlignment="1">
      <alignment horizontal="center" vertical="top" wrapText="1"/>
    </xf>
    <xf numFmtId="3" fontId="3" fillId="6" borderId="92" xfId="1" applyNumberFormat="1" applyFont="1" applyFill="1" applyBorder="1" applyAlignment="1">
      <alignment horizontal="center" vertical="top" wrapText="1"/>
    </xf>
    <xf numFmtId="0" fontId="3" fillId="6" borderId="8" xfId="0" applyFont="1" applyFill="1" applyBorder="1" applyAlignment="1">
      <alignment horizontal="center" vertical="center" wrapText="1"/>
    </xf>
    <xf numFmtId="0" fontId="21" fillId="6" borderId="9" xfId="0" applyFont="1" applyFill="1" applyBorder="1" applyAlignment="1">
      <alignment vertical="top" wrapText="1"/>
    </xf>
    <xf numFmtId="0" fontId="21" fillId="6" borderId="9" xfId="1" applyFont="1" applyFill="1" applyBorder="1" applyAlignment="1">
      <alignment vertical="top" wrapText="1"/>
    </xf>
    <xf numFmtId="165" fontId="3" fillId="6" borderId="9" xfId="0" applyNumberFormat="1" applyFont="1" applyFill="1" applyBorder="1" applyAlignment="1">
      <alignment vertical="top"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8" xfId="0"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165" fontId="3" fillId="6" borderId="103" xfId="0" applyNumberFormat="1" applyFont="1" applyFill="1" applyBorder="1" applyAlignment="1">
      <alignment horizontal="center" vertical="top" wrapText="1"/>
    </xf>
    <xf numFmtId="165" fontId="3" fillId="6" borderId="76" xfId="0" applyNumberFormat="1" applyFont="1" applyFill="1" applyBorder="1" applyAlignment="1">
      <alignment horizontal="center" vertical="top" wrapText="1"/>
    </xf>
    <xf numFmtId="165" fontId="3" fillId="6" borderId="81" xfId="0" applyNumberFormat="1" applyFont="1" applyFill="1" applyBorder="1" applyAlignment="1">
      <alignment horizontal="center" vertical="top" wrapText="1"/>
    </xf>
    <xf numFmtId="3" fontId="4" fillId="6" borderId="0" xfId="0" applyNumberFormat="1" applyFont="1" applyFill="1" applyAlignment="1">
      <alignment horizontal="left" vertical="top" wrapText="1"/>
    </xf>
    <xf numFmtId="0" fontId="32" fillId="6" borderId="0" xfId="0" applyFont="1" applyFill="1" applyAlignment="1">
      <alignment vertical="top"/>
    </xf>
    <xf numFmtId="165" fontId="3" fillId="13" borderId="8" xfId="3" applyNumberFormat="1" applyFont="1" applyFill="1" applyBorder="1" applyAlignment="1">
      <alignment horizontal="center" vertical="top"/>
    </xf>
    <xf numFmtId="0" fontId="7" fillId="9" borderId="60" xfId="0" applyFont="1" applyFill="1" applyBorder="1" applyAlignment="1">
      <alignment horizontal="left" vertical="top" wrapText="1"/>
    </xf>
    <xf numFmtId="0" fontId="3" fillId="6" borderId="42" xfId="1" applyFont="1" applyFill="1" applyBorder="1" applyAlignment="1">
      <alignment vertical="top" wrapText="1"/>
    </xf>
    <xf numFmtId="49" fontId="5" fillId="6" borderId="17"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9" xfId="1" applyFont="1" applyFill="1" applyBorder="1" applyAlignment="1">
      <alignment vertical="top" wrapText="1"/>
    </xf>
    <xf numFmtId="0" fontId="3" fillId="6" borderId="15" xfId="0" applyFont="1" applyFill="1" applyBorder="1" applyAlignment="1">
      <alignment horizontal="left" vertical="top" wrapText="1"/>
    </xf>
    <xf numFmtId="0" fontId="3" fillId="6" borderId="15" xfId="0" applyFont="1" applyFill="1" applyBorder="1" applyAlignment="1">
      <alignment horizontal="center" vertical="center" textRotation="90" wrapText="1"/>
    </xf>
    <xf numFmtId="0" fontId="2" fillId="6" borderId="15"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19" xfId="0" applyFont="1" applyFill="1" applyBorder="1" applyAlignment="1">
      <alignment horizontal="center" vertical="center" textRotation="90" wrapText="1"/>
    </xf>
    <xf numFmtId="0" fontId="3" fillId="0" borderId="9" xfId="0" applyFont="1" applyFill="1" applyBorder="1" applyAlignment="1">
      <alignment horizontal="left" vertical="top" wrapText="1"/>
    </xf>
    <xf numFmtId="0" fontId="3" fillId="6" borderId="31" xfId="0" applyFont="1" applyFill="1" applyBorder="1" applyAlignment="1">
      <alignment horizontal="center" vertical="center" textRotation="90" wrapText="1"/>
    </xf>
    <xf numFmtId="49" fontId="5" fillId="3" borderId="47" xfId="0" applyNumberFormat="1" applyFont="1" applyFill="1" applyBorder="1" applyAlignment="1">
      <alignment horizontal="center" vertical="top"/>
    </xf>
    <xf numFmtId="0" fontId="3" fillId="6" borderId="48"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0" fillId="6" borderId="15" xfId="0" applyFill="1" applyBorder="1" applyAlignment="1">
      <alignment horizontal="left" vertical="top" wrapText="1"/>
    </xf>
    <xf numFmtId="49" fontId="5" fillId="10" borderId="7"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165" fontId="3" fillId="0" borderId="37"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0" borderId="15" xfId="0" applyNumberFormat="1" applyFont="1" applyFill="1" applyBorder="1" applyAlignment="1">
      <alignment horizontal="center" vertical="top"/>
    </xf>
    <xf numFmtId="0" fontId="5" fillId="6" borderId="25" xfId="0" applyFont="1" applyFill="1" applyBorder="1" applyAlignment="1">
      <alignment horizontal="left" vertical="top" wrapText="1"/>
    </xf>
    <xf numFmtId="0" fontId="5" fillId="6" borderId="15" xfId="0" applyFont="1" applyFill="1" applyBorder="1" applyAlignment="1">
      <alignment horizontal="left" vertical="top" wrapText="1"/>
    </xf>
    <xf numFmtId="49" fontId="5" fillId="6" borderId="15" xfId="0" applyNumberFormat="1" applyFont="1" applyFill="1" applyBorder="1" applyAlignment="1">
      <alignment horizontal="center" vertical="top" wrapText="1"/>
    </xf>
    <xf numFmtId="0" fontId="5" fillId="6" borderId="25" xfId="0" applyFont="1" applyFill="1" applyBorder="1" applyAlignment="1">
      <alignment vertical="top" wrapText="1"/>
    </xf>
    <xf numFmtId="0" fontId="3" fillId="6" borderId="15" xfId="0" applyFont="1" applyFill="1" applyBorder="1" applyAlignment="1">
      <alignment vertical="top" wrapText="1"/>
    </xf>
    <xf numFmtId="0" fontId="7" fillId="9" borderId="60" xfId="0" applyFont="1" applyFill="1" applyBorder="1" applyAlignment="1">
      <alignment horizontal="left" vertical="top" wrapText="1"/>
    </xf>
    <xf numFmtId="0" fontId="3" fillId="6" borderId="88" xfId="0" applyFont="1" applyFill="1" applyBorder="1" applyAlignment="1">
      <alignment vertical="top" wrapText="1"/>
    </xf>
    <xf numFmtId="0" fontId="5" fillId="0" borderId="0" xfId="0" applyNumberFormat="1" applyFont="1" applyAlignment="1">
      <alignment horizontal="center" vertical="top"/>
    </xf>
    <xf numFmtId="49" fontId="5" fillId="0" borderId="0" xfId="0" applyNumberFormat="1" applyFont="1" applyFill="1" applyBorder="1" applyAlignment="1">
      <alignment horizontal="center" vertical="top" wrapText="1"/>
    </xf>
    <xf numFmtId="0" fontId="7" fillId="6" borderId="15" xfId="0" applyFont="1" applyFill="1" applyBorder="1" applyAlignment="1">
      <alignment vertical="top" wrapText="1"/>
    </xf>
    <xf numFmtId="0" fontId="3" fillId="6" borderId="42" xfId="0" applyFont="1" applyFill="1" applyBorder="1" applyAlignment="1">
      <alignment vertical="top" wrapText="1"/>
    </xf>
    <xf numFmtId="0" fontId="3" fillId="6" borderId="9" xfId="0" applyFont="1" applyFill="1" applyBorder="1" applyAlignment="1">
      <alignment vertical="top" wrapText="1"/>
    </xf>
    <xf numFmtId="165" fontId="3" fillId="6" borderId="15"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0" fontId="3" fillId="6" borderId="37" xfId="0" applyFont="1" applyFill="1" applyBorder="1" applyAlignment="1">
      <alignment vertical="top" wrapText="1"/>
    </xf>
    <xf numFmtId="0" fontId="3" fillId="6" borderId="28" xfId="0" applyFont="1" applyFill="1" applyBorder="1" applyAlignment="1">
      <alignment horizontal="left" vertical="top" wrapText="1"/>
    </xf>
    <xf numFmtId="0" fontId="3" fillId="6" borderId="42" xfId="1" applyFont="1" applyFill="1" applyBorder="1" applyAlignment="1">
      <alignment vertical="top" wrapText="1"/>
    </xf>
    <xf numFmtId="0" fontId="3" fillId="6" borderId="47"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0" fontId="3" fillId="6" borderId="9" xfId="1" applyFont="1" applyFill="1" applyBorder="1" applyAlignment="1">
      <alignment horizontal="left" vertical="top" wrapText="1"/>
    </xf>
    <xf numFmtId="0" fontId="5" fillId="9" borderId="60"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6" borderId="89" xfId="0" applyFont="1" applyFill="1" applyBorder="1" applyAlignment="1">
      <alignment vertical="top" wrapText="1"/>
    </xf>
    <xf numFmtId="0" fontId="3" fillId="6" borderId="37" xfId="0" applyFont="1" applyFill="1" applyBorder="1" applyAlignment="1">
      <alignment horizontal="left" vertical="top" wrapText="1"/>
    </xf>
    <xf numFmtId="0" fontId="3" fillId="6" borderId="8" xfId="0" applyFont="1" applyFill="1" applyBorder="1" applyAlignment="1">
      <alignment horizontal="center" vertical="top" wrapText="1"/>
    </xf>
    <xf numFmtId="3" fontId="3" fillId="0" borderId="29" xfId="1" applyNumberFormat="1" applyFont="1" applyFill="1" applyBorder="1" applyAlignment="1">
      <alignment horizontal="center" vertical="top"/>
    </xf>
    <xf numFmtId="3" fontId="3" fillId="6" borderId="76" xfId="1" applyNumberFormat="1" applyFont="1" applyFill="1" applyBorder="1" applyAlignment="1">
      <alignment horizontal="center" vertical="top" wrapText="1"/>
    </xf>
    <xf numFmtId="3" fontId="3" fillId="6" borderId="29" xfId="1" applyNumberFormat="1" applyFont="1" applyFill="1" applyBorder="1" applyAlignment="1">
      <alignment horizontal="center" vertical="top" wrapText="1"/>
    </xf>
    <xf numFmtId="3" fontId="34" fillId="6" borderId="17" xfId="0" applyNumberFormat="1" applyFont="1" applyFill="1" applyBorder="1" applyAlignment="1">
      <alignment horizontal="center" vertical="top"/>
    </xf>
    <xf numFmtId="165" fontId="3" fillId="6" borderId="52" xfId="1" applyNumberFormat="1" applyFont="1" applyFill="1" applyBorder="1" applyAlignment="1">
      <alignment horizontal="center" vertical="top"/>
    </xf>
    <xf numFmtId="165" fontId="28" fillId="6" borderId="15" xfId="0" applyNumberFormat="1" applyFont="1" applyFill="1" applyBorder="1" applyAlignment="1">
      <alignment horizontal="center" vertical="top"/>
    </xf>
    <xf numFmtId="165" fontId="3" fillId="0" borderId="36" xfId="0" applyNumberFormat="1" applyFont="1" applyFill="1" applyBorder="1" applyAlignment="1">
      <alignment horizontal="center" vertical="top"/>
    </xf>
    <xf numFmtId="165" fontId="3" fillId="6" borderId="39" xfId="0" applyNumberFormat="1" applyFont="1" applyFill="1" applyBorder="1" applyAlignment="1">
      <alignment horizontal="right" vertical="top"/>
    </xf>
    <xf numFmtId="165" fontId="28" fillId="6" borderId="0" xfId="0" applyNumberFormat="1" applyFont="1" applyFill="1" applyBorder="1" applyAlignment="1">
      <alignment horizontal="center" vertical="top"/>
    </xf>
    <xf numFmtId="165" fontId="3" fillId="6" borderId="19" xfId="0" applyNumberFormat="1" applyFont="1" applyFill="1" applyBorder="1" applyAlignment="1">
      <alignment horizontal="right" vertical="top"/>
    </xf>
    <xf numFmtId="0" fontId="3" fillId="6" borderId="52" xfId="0" applyFont="1" applyFill="1" applyBorder="1" applyAlignment="1">
      <alignment horizontal="center" vertical="top" wrapText="1"/>
    </xf>
    <xf numFmtId="165" fontId="3" fillId="0" borderId="44" xfId="0" applyNumberFormat="1" applyFont="1" applyFill="1" applyBorder="1" applyAlignment="1">
      <alignment horizontal="center" vertical="top" wrapText="1"/>
    </xf>
    <xf numFmtId="165" fontId="3" fillId="0" borderId="47"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6" borderId="76" xfId="1" applyNumberFormat="1" applyFont="1" applyFill="1" applyBorder="1" applyAlignment="1">
      <alignment horizontal="center" vertical="top"/>
    </xf>
    <xf numFmtId="3" fontId="3" fillId="6" borderId="47" xfId="1" applyNumberFormat="1" applyFont="1" applyFill="1" applyBorder="1" applyAlignment="1">
      <alignment horizontal="center" vertical="top"/>
    </xf>
    <xf numFmtId="3" fontId="3" fillId="6" borderId="99" xfId="1" applyNumberFormat="1" applyFont="1" applyFill="1" applyBorder="1" applyAlignment="1">
      <alignment horizontal="center" vertical="top"/>
    </xf>
    <xf numFmtId="3" fontId="3" fillId="6" borderId="95" xfId="1" applyNumberFormat="1" applyFont="1" applyFill="1" applyBorder="1" applyAlignment="1">
      <alignment horizontal="center" vertical="top"/>
    </xf>
    <xf numFmtId="3" fontId="3" fillId="6" borderId="87" xfId="1" applyNumberFormat="1" applyFont="1" applyFill="1" applyBorder="1" applyAlignment="1">
      <alignment horizontal="center" vertical="top"/>
    </xf>
    <xf numFmtId="165" fontId="3" fillId="6" borderId="45" xfId="1" applyNumberFormat="1" applyFont="1" applyFill="1" applyBorder="1" applyAlignment="1">
      <alignment horizontal="center" vertical="top" wrapText="1"/>
    </xf>
    <xf numFmtId="1" fontId="3" fillId="6" borderId="76" xfId="1" applyNumberFormat="1" applyFont="1" applyFill="1" applyBorder="1" applyAlignment="1">
      <alignment horizontal="center" vertical="top" wrapText="1"/>
    </xf>
    <xf numFmtId="3" fontId="21" fillId="6" borderId="76" xfId="1" applyNumberFormat="1" applyFont="1" applyFill="1" applyBorder="1" applyAlignment="1">
      <alignment horizontal="center" vertical="top" wrapText="1"/>
    </xf>
    <xf numFmtId="3" fontId="3" fillId="6" borderId="47" xfId="1" applyNumberFormat="1" applyFont="1" applyFill="1" applyBorder="1" applyAlignment="1">
      <alignment horizontal="center" vertical="top" wrapText="1"/>
    </xf>
    <xf numFmtId="164" fontId="2" fillId="6" borderId="45" xfId="0" applyNumberFormat="1" applyFont="1" applyFill="1" applyBorder="1" applyAlignment="1">
      <alignment horizontal="center" vertical="center" wrapText="1"/>
    </xf>
    <xf numFmtId="0" fontId="3" fillId="12" borderId="45" xfId="0" applyFont="1" applyFill="1" applyBorder="1" applyAlignment="1">
      <alignment horizontal="center" vertical="top" wrapText="1"/>
    </xf>
    <xf numFmtId="0" fontId="3" fillId="12" borderId="47" xfId="0" applyFont="1" applyFill="1" applyBorder="1" applyAlignment="1">
      <alignment horizontal="center" vertical="top" wrapText="1"/>
    </xf>
    <xf numFmtId="0" fontId="3" fillId="0" borderId="17" xfId="0" applyFont="1" applyFill="1" applyBorder="1" applyAlignment="1">
      <alignment horizontal="center" vertical="center"/>
    </xf>
    <xf numFmtId="165" fontId="3" fillId="6" borderId="17" xfId="1" applyNumberFormat="1" applyFont="1" applyFill="1" applyBorder="1" applyAlignment="1">
      <alignment horizontal="center" vertical="top" wrapText="1"/>
    </xf>
    <xf numFmtId="3" fontId="21" fillId="6" borderId="17" xfId="1" applyNumberFormat="1" applyFont="1" applyFill="1" applyBorder="1" applyAlignment="1">
      <alignment horizontal="center" vertical="top" wrapText="1"/>
    </xf>
    <xf numFmtId="1" fontId="3" fillId="6" borderId="78"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5" fontId="3" fillId="0" borderId="49" xfId="0" applyNumberFormat="1" applyFont="1" applyFill="1" applyBorder="1" applyAlignment="1">
      <alignment horizontal="center" vertical="top"/>
    </xf>
    <xf numFmtId="165" fontId="3" fillId="0" borderId="19"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31" xfId="1" applyNumberFormat="1" applyFont="1" applyFill="1" applyBorder="1" applyAlignment="1">
      <alignment horizontal="center" vertical="top"/>
    </xf>
    <xf numFmtId="165" fontId="3" fillId="6" borderId="2" xfId="0" applyNumberFormat="1" applyFont="1" applyFill="1" applyBorder="1" applyAlignment="1">
      <alignment horizontal="center" vertical="top"/>
    </xf>
    <xf numFmtId="165" fontId="3" fillId="2" borderId="46"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2" borderId="31" xfId="0" applyNumberFormat="1" applyFont="1" applyFill="1" applyBorder="1" applyAlignment="1">
      <alignment horizontal="center" vertical="top"/>
    </xf>
    <xf numFmtId="165" fontId="3" fillId="2" borderId="51" xfId="0" applyNumberFormat="1" applyFont="1" applyFill="1" applyBorder="1" applyAlignment="1">
      <alignment horizontal="center" vertical="top"/>
    </xf>
    <xf numFmtId="165" fontId="3" fillId="2" borderId="52" xfId="0" applyNumberFormat="1" applyFont="1" applyFill="1" applyBorder="1" applyAlignment="1">
      <alignment horizontal="center" vertical="top"/>
    </xf>
    <xf numFmtId="165" fontId="5" fillId="10" borderId="61" xfId="0" applyNumberFormat="1" applyFont="1" applyFill="1" applyBorder="1" applyAlignment="1">
      <alignment horizontal="center" vertical="top"/>
    </xf>
    <xf numFmtId="165" fontId="5" fillId="4" borderId="60"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0" fontId="26" fillId="0" borderId="5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69" xfId="0" applyFont="1" applyBorder="1" applyAlignment="1">
      <alignment horizontal="center" vertical="center" wrapText="1"/>
    </xf>
    <xf numFmtId="165" fontId="3" fillId="8" borderId="30" xfId="0" applyNumberFormat="1" applyFont="1" applyFill="1" applyBorder="1" applyAlignment="1">
      <alignment horizontal="center" vertical="top"/>
    </xf>
    <xf numFmtId="165" fontId="3" fillId="8" borderId="16" xfId="0" applyNumberFormat="1" applyFont="1" applyFill="1" applyBorder="1" applyAlignment="1">
      <alignment horizontal="center" vertical="top" wrapText="1"/>
    </xf>
    <xf numFmtId="165" fontId="3" fillId="8" borderId="40" xfId="0" applyNumberFormat="1" applyFont="1" applyFill="1" applyBorder="1" applyAlignment="1">
      <alignment horizontal="center" vertical="top" wrapText="1"/>
    </xf>
    <xf numFmtId="165" fontId="5" fillId="4" borderId="40" xfId="0" applyNumberFormat="1" applyFont="1" applyFill="1" applyBorder="1" applyAlignment="1">
      <alignment horizontal="center" vertical="top" wrapText="1"/>
    </xf>
    <xf numFmtId="165" fontId="3" fillId="0" borderId="41" xfId="0" applyNumberFormat="1" applyFont="1" applyBorder="1" applyAlignment="1">
      <alignment horizontal="center" vertical="top" wrapText="1"/>
    </xf>
    <xf numFmtId="165" fontId="3" fillId="8" borderId="41"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wrapText="1"/>
    </xf>
    <xf numFmtId="165" fontId="3" fillId="0" borderId="16" xfId="0" applyNumberFormat="1" applyFont="1" applyBorder="1" applyAlignment="1">
      <alignment horizontal="center" vertical="top"/>
    </xf>
    <xf numFmtId="165" fontId="3" fillId="0" borderId="2" xfId="0" applyNumberFormat="1" applyFont="1" applyBorder="1" applyAlignment="1">
      <alignment horizontal="center" vertical="top"/>
    </xf>
    <xf numFmtId="49" fontId="5" fillId="10" borderId="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8" xfId="0" applyFont="1" applyFill="1" applyBorder="1" applyAlignment="1">
      <alignment horizontal="center" vertical="top" wrapText="1"/>
    </xf>
    <xf numFmtId="0" fontId="3" fillId="6" borderId="9" xfId="0" applyFont="1" applyFill="1" applyBorder="1" applyAlignment="1">
      <alignment vertical="top" wrapText="1"/>
    </xf>
    <xf numFmtId="0" fontId="3" fillId="6" borderId="2" xfId="0" applyFont="1" applyFill="1" applyBorder="1" applyAlignment="1">
      <alignment horizontal="left" vertical="top" wrapText="1"/>
    </xf>
    <xf numFmtId="0" fontId="25" fillId="0" borderId="100" xfId="0" applyFont="1" applyFill="1" applyBorder="1" applyAlignment="1">
      <alignment horizontal="left" vertical="top" wrapText="1"/>
    </xf>
    <xf numFmtId="0" fontId="3" fillId="0" borderId="37" xfId="0" applyFont="1" applyFill="1" applyBorder="1" applyAlignment="1">
      <alignment horizontal="left" vertical="top" wrapText="1"/>
    </xf>
    <xf numFmtId="0" fontId="3" fillId="0" borderId="90" xfId="0" applyFont="1" applyFill="1" applyBorder="1" applyAlignment="1">
      <alignment horizontal="left" vertical="top" wrapText="1"/>
    </xf>
    <xf numFmtId="0" fontId="25" fillId="0" borderId="100" xfId="0" applyFont="1" applyFill="1" applyBorder="1" applyAlignment="1">
      <alignment vertical="top" wrapText="1"/>
    </xf>
    <xf numFmtId="1" fontId="3" fillId="0" borderId="72" xfId="0" applyNumberFormat="1" applyFont="1" applyFill="1" applyBorder="1" applyAlignment="1">
      <alignment horizontal="center" vertical="top" wrapText="1"/>
    </xf>
    <xf numFmtId="49" fontId="3" fillId="6" borderId="31" xfId="0" applyNumberFormat="1" applyFont="1" applyFill="1" applyBorder="1" applyAlignment="1">
      <alignment horizontal="center" vertical="top" wrapText="1"/>
    </xf>
    <xf numFmtId="1" fontId="3" fillId="6" borderId="99" xfId="0" applyNumberFormat="1" applyFont="1" applyFill="1" applyBorder="1" applyAlignment="1">
      <alignment horizontal="center" vertical="top" wrapText="1"/>
    </xf>
    <xf numFmtId="1" fontId="3" fillId="6" borderId="92"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165" fontId="16" fillId="6" borderId="8" xfId="0" applyNumberFormat="1" applyFont="1" applyFill="1" applyBorder="1" applyAlignment="1">
      <alignment horizontal="center" vertical="top"/>
    </xf>
    <xf numFmtId="3" fontId="3" fillId="6" borderId="4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0" fontId="3" fillId="6" borderId="114" xfId="0" applyFont="1" applyFill="1" applyBorder="1" applyAlignment="1">
      <alignment horizontal="center" vertical="center"/>
    </xf>
    <xf numFmtId="165" fontId="3" fillId="6" borderId="114" xfId="0" applyNumberFormat="1" applyFont="1" applyFill="1" applyBorder="1" applyAlignment="1">
      <alignment horizontal="center" vertical="top"/>
    </xf>
    <xf numFmtId="165" fontId="3" fillId="0" borderId="97" xfId="0" applyNumberFormat="1" applyFont="1" applyFill="1" applyBorder="1" applyAlignment="1">
      <alignment horizontal="center" vertical="top"/>
    </xf>
    <xf numFmtId="0" fontId="3" fillId="6" borderId="97" xfId="0" applyFont="1" applyFill="1" applyBorder="1" applyAlignment="1">
      <alignment vertical="top" wrapText="1"/>
    </xf>
    <xf numFmtId="0" fontId="3" fillId="0" borderId="87" xfId="0" applyFont="1" applyFill="1" applyBorder="1" applyAlignment="1">
      <alignment horizontal="center" vertical="center"/>
    </xf>
    <xf numFmtId="0" fontId="3" fillId="0" borderId="85" xfId="0" applyFont="1" applyFill="1" applyBorder="1" applyAlignment="1">
      <alignment horizontal="center" vertical="center"/>
    </xf>
    <xf numFmtId="0" fontId="3" fillId="6" borderId="84" xfId="0" applyFont="1" applyFill="1" applyBorder="1" applyAlignment="1">
      <alignment horizontal="center" vertical="center"/>
    </xf>
    <xf numFmtId="165" fontId="15" fillId="8" borderId="59" xfId="0" applyNumberFormat="1" applyFont="1" applyFill="1" applyBorder="1" applyAlignment="1">
      <alignment horizontal="center" vertical="top"/>
    </xf>
    <xf numFmtId="165" fontId="16" fillId="6" borderId="15" xfId="0" applyNumberFormat="1" applyFont="1" applyFill="1" applyBorder="1" applyAlignment="1">
      <alignment horizontal="center" vertical="top"/>
    </xf>
    <xf numFmtId="165" fontId="16" fillId="6" borderId="0" xfId="0" applyNumberFormat="1" applyFont="1" applyFill="1" applyBorder="1" applyAlignment="1">
      <alignment horizontal="center" vertical="top"/>
    </xf>
    <xf numFmtId="165" fontId="16" fillId="6" borderId="38" xfId="0" applyNumberFormat="1" applyFont="1" applyFill="1" applyBorder="1" applyAlignment="1">
      <alignment horizontal="center" vertical="top"/>
    </xf>
    <xf numFmtId="0" fontId="9" fillId="6" borderId="38" xfId="0" applyFont="1" applyFill="1" applyBorder="1" applyAlignment="1">
      <alignment vertical="top" wrapText="1"/>
    </xf>
    <xf numFmtId="165" fontId="3" fillId="6" borderId="25"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wrapText="1"/>
    </xf>
    <xf numFmtId="165" fontId="16" fillId="6" borderId="50" xfId="0" applyNumberFormat="1" applyFont="1" applyFill="1" applyBorder="1" applyAlignment="1">
      <alignment horizontal="center" vertical="top"/>
    </xf>
    <xf numFmtId="165" fontId="16" fillId="6" borderId="51" xfId="0" applyNumberFormat="1" applyFont="1" applyFill="1" applyBorder="1" applyAlignment="1">
      <alignment horizontal="center" vertical="top"/>
    </xf>
    <xf numFmtId="165" fontId="16" fillId="6" borderId="54" xfId="0" applyNumberFormat="1" applyFont="1" applyFill="1" applyBorder="1" applyAlignment="1">
      <alignment horizontal="center" vertical="top"/>
    </xf>
    <xf numFmtId="165" fontId="16" fillId="6" borderId="5"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0" fontId="7" fillId="0" borderId="0" xfId="0" applyFont="1" applyFill="1" applyAlignment="1">
      <alignment horizontal="left" vertical="top" wrapText="1"/>
    </xf>
    <xf numFmtId="0" fontId="7" fillId="0" borderId="0" xfId="0" applyFont="1" applyAlignment="1">
      <alignment horizontal="left" vertical="top" wrapText="1"/>
    </xf>
    <xf numFmtId="0" fontId="3" fillId="6" borderId="88" xfId="0" applyFont="1" applyFill="1" applyBorder="1" applyAlignment="1">
      <alignment vertical="top" wrapText="1"/>
    </xf>
    <xf numFmtId="49" fontId="5" fillId="6" borderId="15"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8" xfId="0" applyFont="1" applyFill="1" applyBorder="1" applyAlignment="1">
      <alignment horizontal="center" vertical="top" wrapText="1"/>
    </xf>
    <xf numFmtId="0" fontId="3" fillId="6" borderId="9" xfId="0" applyFont="1" applyFill="1" applyBorder="1" applyAlignment="1">
      <alignment vertical="top" wrapText="1"/>
    </xf>
    <xf numFmtId="0" fontId="3" fillId="6" borderId="99" xfId="0" applyFont="1" applyFill="1" applyBorder="1" applyAlignment="1">
      <alignment horizontal="center" vertical="top"/>
    </xf>
    <xf numFmtId="0" fontId="3" fillId="6" borderId="92" xfId="0" applyFont="1" applyFill="1" applyBorder="1" applyAlignment="1">
      <alignment horizontal="center" vertical="center" textRotation="90" wrapText="1"/>
    </xf>
    <xf numFmtId="49" fontId="5" fillId="6" borderId="99" xfId="0" applyNumberFormat="1" applyFont="1" applyFill="1" applyBorder="1" applyAlignment="1">
      <alignment horizontal="center" vertical="top"/>
    </xf>
    <xf numFmtId="3" fontId="16" fillId="6" borderId="15" xfId="0" applyNumberFormat="1" applyFont="1" applyFill="1" applyBorder="1" applyAlignment="1">
      <alignment horizontal="center" vertical="top" wrapText="1"/>
    </xf>
    <xf numFmtId="0" fontId="3" fillId="6" borderId="8" xfId="0" applyFont="1" applyFill="1" applyBorder="1" applyAlignment="1">
      <alignment horizontal="center" vertical="top" wrapText="1"/>
    </xf>
    <xf numFmtId="0" fontId="3" fillId="6" borderId="91" xfId="0" applyFont="1" applyFill="1" applyBorder="1" applyAlignment="1">
      <alignment horizontal="center" vertical="center"/>
    </xf>
    <xf numFmtId="0" fontId="3" fillId="6" borderId="95" xfId="0" applyFont="1" applyFill="1" applyBorder="1" applyAlignment="1">
      <alignment horizontal="center" vertical="center"/>
    </xf>
    <xf numFmtId="165" fontId="3" fillId="2" borderId="17" xfId="0" applyNumberFormat="1" applyFont="1" applyFill="1" applyBorder="1" applyAlignment="1">
      <alignment horizontal="center" vertical="top"/>
    </xf>
    <xf numFmtId="165" fontId="16" fillId="6" borderId="37" xfId="0" applyNumberFormat="1" applyFont="1" applyFill="1" applyBorder="1" applyAlignment="1">
      <alignment horizontal="center" vertical="top"/>
    </xf>
    <xf numFmtId="0" fontId="16" fillId="6" borderId="0" xfId="0" applyFont="1" applyFill="1" applyBorder="1" applyAlignment="1">
      <alignment horizontal="center" vertical="top"/>
    </xf>
    <xf numFmtId="0" fontId="16" fillId="6" borderId="15" xfId="0" applyFont="1" applyFill="1" applyBorder="1" applyAlignment="1">
      <alignment horizontal="center" vertical="top"/>
    </xf>
    <xf numFmtId="0" fontId="16" fillId="6" borderId="50" xfId="0"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42" xfId="1" applyFont="1" applyFill="1" applyBorder="1" applyAlignment="1">
      <alignment vertical="top" wrapText="1"/>
    </xf>
    <xf numFmtId="0" fontId="0" fillId="0" borderId="31" xfId="0" applyBorder="1" applyAlignment="1">
      <alignment horizontal="left" vertical="top" wrapText="1"/>
    </xf>
    <xf numFmtId="0" fontId="5" fillId="6" borderId="9" xfId="0" applyFont="1" applyFill="1" applyBorder="1" applyAlignment="1">
      <alignment vertical="top" wrapText="1"/>
    </xf>
    <xf numFmtId="0" fontId="3" fillId="6" borderId="37" xfId="0" applyFont="1" applyFill="1" applyBorder="1" applyAlignment="1">
      <alignment vertical="top" wrapText="1"/>
    </xf>
    <xf numFmtId="0" fontId="3" fillId="6" borderId="9" xfId="0" applyFont="1" applyFill="1" applyBorder="1" applyAlignment="1">
      <alignment vertical="top" wrapText="1"/>
    </xf>
    <xf numFmtId="0" fontId="3" fillId="6" borderId="15"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0" fontId="3" fillId="6" borderId="9" xfId="0" applyFont="1" applyFill="1" applyBorder="1" applyAlignment="1">
      <alignment vertical="top" wrapText="1"/>
    </xf>
    <xf numFmtId="0" fontId="3" fillId="6" borderId="8" xfId="0" applyFont="1" applyFill="1" applyBorder="1" applyAlignment="1">
      <alignment horizontal="center" vertical="top" wrapText="1"/>
    </xf>
    <xf numFmtId="165" fontId="16" fillId="6" borderId="19" xfId="0" applyNumberFormat="1" applyFont="1" applyFill="1" applyBorder="1" applyAlignment="1">
      <alignment horizontal="center" vertical="top"/>
    </xf>
    <xf numFmtId="165" fontId="16" fillId="6" borderId="49" xfId="0" applyNumberFormat="1" applyFont="1" applyFill="1" applyBorder="1" applyAlignment="1">
      <alignment horizontal="center" vertical="top"/>
    </xf>
    <xf numFmtId="165" fontId="16" fillId="6" borderId="39" xfId="0" applyNumberFormat="1" applyFont="1" applyFill="1" applyBorder="1" applyAlignment="1">
      <alignment horizontal="center" vertical="top"/>
    </xf>
    <xf numFmtId="165" fontId="16" fillId="6" borderId="17" xfId="3" applyNumberFormat="1" applyFont="1" applyFill="1" applyBorder="1" applyAlignment="1">
      <alignment horizontal="center" vertical="top"/>
    </xf>
    <xf numFmtId="165" fontId="16" fillId="6" borderId="17" xfId="0" applyNumberFormat="1" applyFont="1" applyFill="1" applyBorder="1" applyAlignment="1">
      <alignment horizontal="center" vertical="top"/>
    </xf>
    <xf numFmtId="165" fontId="16" fillId="6" borderId="30" xfId="0" applyNumberFormat="1" applyFont="1" applyFill="1" applyBorder="1" applyAlignment="1">
      <alignment horizontal="center" vertical="top"/>
    </xf>
    <xf numFmtId="165" fontId="16" fillId="6" borderId="15" xfId="0" applyNumberFormat="1" applyFont="1" applyFill="1" applyBorder="1" applyAlignment="1">
      <alignment horizontal="center" vertical="top" wrapText="1"/>
    </xf>
    <xf numFmtId="165" fontId="16" fillId="6" borderId="50" xfId="0" applyNumberFormat="1" applyFont="1" applyFill="1" applyBorder="1" applyAlignment="1">
      <alignment horizontal="center" vertical="top" wrapText="1"/>
    </xf>
    <xf numFmtId="0" fontId="3" fillId="12" borderId="29" xfId="0" applyFont="1" applyFill="1" applyBorder="1" applyAlignment="1">
      <alignment horizontal="center" vertical="top" wrapText="1"/>
    </xf>
    <xf numFmtId="0" fontId="16" fillId="6" borderId="52" xfId="0" applyFont="1" applyFill="1" applyBorder="1" applyAlignment="1">
      <alignment horizontal="center" vertical="top"/>
    </xf>
    <xf numFmtId="165" fontId="16" fillId="6" borderId="52" xfId="0" applyNumberFormat="1" applyFont="1" applyFill="1" applyBorder="1" applyAlignment="1">
      <alignment horizontal="center" vertical="top" wrapText="1"/>
    </xf>
    <xf numFmtId="49" fontId="5" fillId="6" borderId="47" xfId="0" applyNumberFormat="1" applyFont="1" applyFill="1" applyBorder="1" applyAlignment="1">
      <alignment horizontal="center" vertical="center" textRotation="90" wrapText="1"/>
    </xf>
    <xf numFmtId="0" fontId="7" fillId="6" borderId="31" xfId="0" applyFont="1" applyFill="1" applyBorder="1" applyAlignment="1">
      <alignment horizontal="center" vertical="center" textRotation="90" wrapText="1"/>
    </xf>
    <xf numFmtId="0" fontId="3" fillId="6" borderId="7" xfId="0" applyFont="1" applyFill="1" applyBorder="1" applyAlignment="1">
      <alignment horizontal="left" vertical="top" wrapText="1"/>
    </xf>
    <xf numFmtId="0" fontId="3" fillId="6" borderId="15" xfId="0" applyFont="1" applyFill="1" applyBorder="1" applyAlignment="1">
      <alignment vertical="top" wrapText="1"/>
    </xf>
    <xf numFmtId="49" fontId="5" fillId="6" borderId="15" xfId="0" applyNumberFormat="1" applyFont="1" applyFill="1" applyBorder="1" applyAlignment="1">
      <alignment horizontal="center" vertical="top" wrapText="1"/>
    </xf>
    <xf numFmtId="0" fontId="5" fillId="6" borderId="15" xfId="0" applyFont="1" applyFill="1" applyBorder="1" applyAlignment="1">
      <alignment horizontal="center" vertical="top" wrapText="1"/>
    </xf>
    <xf numFmtId="49" fontId="5" fillId="6" borderId="17" xfId="0" applyNumberFormat="1" applyFont="1" applyFill="1" applyBorder="1" applyAlignment="1">
      <alignment horizontal="center" vertical="top"/>
    </xf>
    <xf numFmtId="0" fontId="3" fillId="6" borderId="9" xfId="0" applyFont="1" applyFill="1" applyBorder="1" applyAlignment="1">
      <alignment horizontal="left" vertical="top" wrapText="1"/>
    </xf>
    <xf numFmtId="3" fontId="3" fillId="6" borderId="44" xfId="0" applyNumberFormat="1" applyFont="1" applyFill="1" applyBorder="1" applyAlignment="1">
      <alignment horizontal="center" vertical="top" wrapText="1"/>
    </xf>
    <xf numFmtId="3" fontId="16" fillId="6" borderId="47" xfId="0" applyNumberFormat="1" applyFont="1" applyFill="1" applyBorder="1" applyAlignment="1">
      <alignment horizontal="center" vertical="top" wrapText="1"/>
    </xf>
    <xf numFmtId="0" fontId="3" fillId="6" borderId="7" xfId="0" applyFont="1" applyFill="1" applyBorder="1" applyAlignment="1">
      <alignment vertical="top" wrapText="1"/>
    </xf>
    <xf numFmtId="165" fontId="3" fillId="6" borderId="44" xfId="0" applyNumberFormat="1" applyFont="1" applyFill="1" applyBorder="1" applyAlignment="1">
      <alignment vertical="top"/>
    </xf>
    <xf numFmtId="0" fontId="3" fillId="6" borderId="8" xfId="0"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0" fontId="5" fillId="6" borderId="15" xfId="0" applyFont="1" applyFill="1" applyBorder="1" applyAlignment="1">
      <alignment horizontal="left" vertical="top" wrapText="1"/>
    </xf>
    <xf numFmtId="0" fontId="5" fillId="6" borderId="9" xfId="0" applyFont="1" applyFill="1" applyBorder="1" applyAlignment="1">
      <alignment vertical="top" wrapText="1"/>
    </xf>
    <xf numFmtId="0" fontId="3" fillId="6" borderId="8" xfId="0" applyFont="1" applyFill="1" applyBorder="1" applyAlignment="1">
      <alignment horizontal="center" vertical="top" wrapText="1"/>
    </xf>
    <xf numFmtId="49" fontId="3" fillId="6" borderId="50" xfId="0" applyNumberFormat="1" applyFont="1" applyFill="1" applyBorder="1" applyAlignment="1">
      <alignment horizontal="center" vertical="center" wrapText="1"/>
    </xf>
    <xf numFmtId="165" fontId="3" fillId="13" borderId="37" xfId="3" applyNumberFormat="1" applyFont="1" applyFill="1" applyBorder="1" applyAlignment="1">
      <alignment horizontal="center" vertical="top"/>
    </xf>
    <xf numFmtId="165" fontId="3" fillId="6" borderId="30" xfId="0" applyNumberFormat="1" applyFont="1" applyFill="1" applyBorder="1" applyAlignment="1">
      <alignment horizontal="center" vertical="top"/>
    </xf>
    <xf numFmtId="165" fontId="3" fillId="6" borderId="37" xfId="0" applyNumberFormat="1" applyFont="1" applyFill="1" applyBorder="1" applyAlignment="1">
      <alignment horizontal="center" vertical="top" wrapText="1"/>
    </xf>
    <xf numFmtId="0" fontId="3" fillId="6" borderId="37" xfId="0" applyFont="1" applyFill="1" applyBorder="1" applyAlignment="1">
      <alignment horizontal="center" vertical="top"/>
    </xf>
    <xf numFmtId="0" fontId="3" fillId="6" borderId="0" xfId="0" applyFont="1" applyFill="1" applyBorder="1" applyAlignment="1">
      <alignment horizontal="center" vertical="top"/>
    </xf>
    <xf numFmtId="165" fontId="16" fillId="6" borderId="37" xfId="0" applyNumberFormat="1" applyFont="1" applyFill="1" applyBorder="1" applyAlignment="1">
      <alignment horizontal="center" vertical="top" wrapText="1"/>
    </xf>
    <xf numFmtId="165" fontId="16" fillId="6" borderId="18" xfId="0" applyNumberFormat="1" applyFont="1" applyFill="1" applyBorder="1" applyAlignment="1">
      <alignment horizontal="center" vertical="top"/>
    </xf>
    <xf numFmtId="0" fontId="3" fillId="6" borderId="37"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3" fillId="6" borderId="8" xfId="0" applyFont="1" applyFill="1" applyBorder="1" applyAlignment="1">
      <alignment horizontal="center" vertical="top" wrapText="1"/>
    </xf>
    <xf numFmtId="0" fontId="3" fillId="0" borderId="37" xfId="0" applyFont="1" applyBorder="1" applyAlignment="1">
      <alignment vertical="top"/>
    </xf>
    <xf numFmtId="1" fontId="3" fillId="6" borderId="31" xfId="0" applyNumberFormat="1" applyFont="1" applyFill="1" applyBorder="1" applyAlignment="1">
      <alignment horizontal="center" vertical="top" wrapText="1"/>
    </xf>
    <xf numFmtId="1" fontId="3" fillId="6" borderId="29" xfId="0" applyNumberFormat="1" applyFont="1" applyFill="1" applyBorder="1" applyAlignment="1">
      <alignment horizontal="center" vertical="top" wrapText="1"/>
    </xf>
    <xf numFmtId="165" fontId="16" fillId="6" borderId="4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0" borderId="2" xfId="0" applyFont="1" applyFill="1" applyBorder="1" applyAlignment="1">
      <alignment vertical="top" wrapText="1"/>
    </xf>
    <xf numFmtId="3" fontId="35" fillId="0" borderId="2" xfId="1" applyNumberFormat="1" applyFont="1" applyFill="1" applyBorder="1" applyAlignment="1">
      <alignment horizontal="center" vertical="top"/>
    </xf>
    <xf numFmtId="3" fontId="3" fillId="0" borderId="34" xfId="1"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3" fillId="6" borderId="47"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0" fontId="3" fillId="6" borderId="47" xfId="0" applyFont="1" applyFill="1" applyBorder="1" applyAlignment="1">
      <alignment horizontal="center" vertical="center" textRotation="90" wrapText="1"/>
    </xf>
    <xf numFmtId="0" fontId="3" fillId="6" borderId="37" xfId="0" applyFont="1" applyFill="1" applyBorder="1" applyAlignment="1">
      <alignment vertical="top" wrapText="1"/>
    </xf>
    <xf numFmtId="0" fontId="3" fillId="6" borderId="8" xfId="0"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47" xfId="0" applyFont="1" applyFill="1" applyBorder="1" applyAlignment="1">
      <alignment horizontal="center" vertical="center" textRotation="90" wrapText="1"/>
    </xf>
    <xf numFmtId="0" fontId="3" fillId="6" borderId="47" xfId="0" applyFont="1" applyFill="1" applyBorder="1" applyAlignment="1">
      <alignment horizontal="left" vertical="top" wrapText="1"/>
    </xf>
    <xf numFmtId="0" fontId="3" fillId="6" borderId="62" xfId="0" applyFont="1" applyFill="1" applyBorder="1" applyAlignment="1">
      <alignment horizontal="left" vertical="top" wrapText="1"/>
    </xf>
    <xf numFmtId="0" fontId="0" fillId="6" borderId="17" xfId="0" applyFill="1" applyBorder="1" applyAlignment="1">
      <alignment horizontal="left" vertical="top" wrapText="1"/>
    </xf>
    <xf numFmtId="0" fontId="3" fillId="6" borderId="8" xfId="0" applyFont="1" applyFill="1" applyBorder="1" applyAlignment="1">
      <alignment horizontal="center" vertical="top" wrapText="1"/>
    </xf>
    <xf numFmtId="0" fontId="3" fillId="6" borderId="37" xfId="0" applyFont="1" applyFill="1" applyBorder="1" applyAlignment="1">
      <alignment horizontal="left" vertical="top" wrapText="1"/>
    </xf>
    <xf numFmtId="165" fontId="3" fillId="13" borderId="62" xfId="3" applyNumberFormat="1" applyFont="1" applyFill="1" applyBorder="1" applyAlignment="1">
      <alignment horizontal="center" vertical="top"/>
    </xf>
    <xf numFmtId="165" fontId="3" fillId="13" borderId="31" xfId="3" applyNumberFormat="1" applyFont="1" applyFill="1" applyBorder="1" applyAlignment="1">
      <alignment horizontal="center" vertical="top"/>
    </xf>
    <xf numFmtId="165" fontId="16" fillId="6" borderId="30" xfId="3" applyNumberFormat="1" applyFont="1" applyFill="1" applyBorder="1" applyAlignment="1">
      <alignment horizontal="center" vertical="top"/>
    </xf>
    <xf numFmtId="165" fontId="16" fillId="6" borderId="36" xfId="0" applyNumberFormat="1" applyFont="1" applyFill="1" applyBorder="1" applyAlignment="1">
      <alignment horizontal="center" vertical="top"/>
    </xf>
    <xf numFmtId="0" fontId="3" fillId="6" borderId="82" xfId="0" applyFont="1" applyFill="1" applyBorder="1" applyAlignment="1">
      <alignment horizontal="left" vertical="top" wrapText="1"/>
    </xf>
    <xf numFmtId="0" fontId="3" fillId="6" borderId="9" xfId="1"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0" fontId="3" fillId="6" borderId="19" xfId="0" applyFont="1" applyFill="1" applyBorder="1" applyAlignment="1">
      <alignment horizontal="center" vertical="center" textRotation="90" wrapText="1"/>
    </xf>
    <xf numFmtId="0" fontId="3" fillId="6" borderId="15" xfId="0" applyFont="1" applyFill="1" applyBorder="1" applyAlignment="1">
      <alignment horizontal="center" vertical="center" textRotation="90" wrapText="1"/>
    </xf>
    <xf numFmtId="0" fontId="3" fillId="6" borderId="15"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6" borderId="4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0" fontId="5" fillId="6" borderId="15" xfId="0" applyFont="1" applyFill="1" applyBorder="1" applyAlignment="1">
      <alignment horizontal="left" vertical="top" wrapText="1"/>
    </xf>
    <xf numFmtId="0" fontId="3" fillId="6" borderId="7" xfId="0" applyFont="1" applyFill="1" applyBorder="1" applyAlignment="1">
      <alignment horizontal="left" vertical="top" wrapText="1"/>
    </xf>
    <xf numFmtId="49" fontId="5" fillId="3" borderId="56" xfId="0" applyNumberFormat="1" applyFont="1" applyFill="1" applyBorder="1" applyAlignment="1">
      <alignment horizontal="center" vertical="top"/>
    </xf>
    <xf numFmtId="0" fontId="5" fillId="6" borderId="9" xfId="0" applyFont="1" applyFill="1" applyBorder="1" applyAlignment="1">
      <alignment vertical="top" wrapText="1"/>
    </xf>
    <xf numFmtId="0" fontId="3" fillId="6" borderId="9" xfId="1" applyFont="1" applyFill="1" applyBorder="1" applyAlignment="1">
      <alignment vertical="top" wrapText="1"/>
    </xf>
    <xf numFmtId="0" fontId="3" fillId="6" borderId="15" xfId="0" applyFont="1" applyFill="1" applyBorder="1" applyAlignment="1">
      <alignment vertical="top" wrapText="1"/>
    </xf>
    <xf numFmtId="0" fontId="3" fillId="6" borderId="42" xfId="0" applyFont="1" applyFill="1" applyBorder="1" applyAlignment="1">
      <alignment vertical="top" wrapText="1"/>
    </xf>
    <xf numFmtId="49" fontId="5" fillId="6" borderId="15" xfId="0" applyNumberFormat="1" applyFont="1" applyFill="1" applyBorder="1" applyAlignment="1">
      <alignment horizontal="center" vertical="top" wrapText="1"/>
    </xf>
    <xf numFmtId="0" fontId="5" fillId="6" borderId="15" xfId="0" applyFont="1" applyFill="1" applyBorder="1" applyAlignment="1">
      <alignment horizontal="center" vertical="top" wrapText="1"/>
    </xf>
    <xf numFmtId="0" fontId="3" fillId="6" borderId="88" xfId="0" applyFont="1" applyFill="1" applyBorder="1" applyAlignment="1">
      <alignment vertical="top" wrapText="1"/>
    </xf>
    <xf numFmtId="0" fontId="3" fillId="6" borderId="62" xfId="0" applyFont="1" applyFill="1" applyBorder="1" applyAlignment="1">
      <alignment horizontal="left" vertical="top" wrapText="1"/>
    </xf>
    <xf numFmtId="0" fontId="3" fillId="6" borderId="37" xfId="0" applyFont="1" applyFill="1" applyBorder="1" applyAlignment="1">
      <alignment vertical="top" wrapText="1"/>
    </xf>
    <xf numFmtId="3" fontId="3" fillId="6" borderId="15" xfId="0" applyNumberFormat="1" applyFont="1" applyFill="1" applyBorder="1" applyAlignment="1">
      <alignment horizontal="center" vertical="top" wrapText="1"/>
    </xf>
    <xf numFmtId="0" fontId="3" fillId="6" borderId="28" xfId="1" applyFont="1" applyFill="1" applyBorder="1" applyAlignment="1">
      <alignment vertical="top" wrapText="1"/>
    </xf>
    <xf numFmtId="0" fontId="3" fillId="6" borderId="9" xfId="0" applyFont="1" applyFill="1" applyBorder="1" applyAlignment="1">
      <alignment vertical="top" wrapText="1"/>
    </xf>
    <xf numFmtId="0" fontId="3" fillId="6" borderId="8" xfId="0" applyFont="1" applyFill="1" applyBorder="1" applyAlignment="1">
      <alignment horizontal="center" vertical="top" wrapText="1"/>
    </xf>
    <xf numFmtId="0" fontId="3" fillId="6" borderId="37" xfId="0" applyFont="1" applyFill="1" applyBorder="1" applyAlignment="1">
      <alignment horizontal="left" vertical="top" wrapText="1"/>
    </xf>
    <xf numFmtId="0" fontId="3" fillId="6" borderId="54" xfId="0" applyFont="1" applyFill="1" applyBorder="1" applyAlignment="1">
      <alignment vertical="top" wrapText="1"/>
    </xf>
    <xf numFmtId="0" fontId="3" fillId="6" borderId="42" xfId="0" applyFont="1" applyFill="1" applyBorder="1" applyAlignment="1">
      <alignment horizontal="left" vertical="top" wrapText="1"/>
    </xf>
    <xf numFmtId="165" fontId="3" fillId="6" borderId="64" xfId="0" applyNumberFormat="1" applyFont="1" applyFill="1" applyBorder="1" applyAlignment="1">
      <alignment horizontal="center" vertical="top"/>
    </xf>
    <xf numFmtId="3" fontId="3" fillId="0" borderId="40" xfId="1" applyNumberFormat="1" applyFont="1" applyFill="1" applyBorder="1" applyAlignment="1">
      <alignment horizontal="center" vertical="top"/>
    </xf>
    <xf numFmtId="3" fontId="3" fillId="0" borderId="17" xfId="1" applyNumberFormat="1" applyFont="1" applyFill="1" applyBorder="1" applyAlignment="1">
      <alignment horizontal="left" vertical="top" wrapText="1"/>
    </xf>
    <xf numFmtId="0" fontId="3" fillId="6" borderId="114" xfId="0" applyFont="1" applyFill="1" applyBorder="1" applyAlignment="1">
      <alignment horizontal="center" vertical="top" wrapText="1"/>
    </xf>
    <xf numFmtId="165" fontId="3" fillId="6" borderId="115" xfId="0" applyNumberFormat="1" applyFont="1" applyFill="1" applyBorder="1" applyAlignment="1">
      <alignment horizontal="center" vertical="top"/>
    </xf>
    <xf numFmtId="0" fontId="36" fillId="0" borderId="0" xfId="0" applyFont="1" applyAlignment="1">
      <alignment horizontal="right" vertical="top"/>
    </xf>
    <xf numFmtId="3" fontId="3" fillId="6" borderId="76" xfId="0" applyNumberFormat="1" applyFont="1" applyFill="1" applyBorder="1" applyAlignment="1">
      <alignment horizontal="center" vertical="top" wrapText="1"/>
    </xf>
    <xf numFmtId="165" fontId="3" fillId="0" borderId="13" xfId="0" applyNumberFormat="1" applyFont="1" applyFill="1" applyBorder="1" applyAlignment="1">
      <alignment horizontal="center" vertical="top" wrapText="1"/>
    </xf>
    <xf numFmtId="1" fontId="3" fillId="0" borderId="95" xfId="0" applyNumberFormat="1" applyFont="1" applyFill="1" applyBorder="1" applyAlignment="1">
      <alignment horizontal="center" vertical="top" wrapText="1"/>
    </xf>
    <xf numFmtId="3" fontId="3" fillId="6" borderId="34" xfId="1" applyNumberFormat="1" applyFont="1" applyFill="1" applyBorder="1" applyAlignment="1">
      <alignment horizontal="center" vertical="top"/>
    </xf>
    <xf numFmtId="3" fontId="3" fillId="6" borderId="29" xfId="1" applyNumberFormat="1" applyFont="1" applyFill="1" applyBorder="1" applyAlignment="1">
      <alignment horizontal="center" vertical="top"/>
    </xf>
    <xf numFmtId="3" fontId="3" fillId="6" borderId="78" xfId="1" applyNumberFormat="1" applyFont="1" applyFill="1" applyBorder="1" applyAlignment="1">
      <alignment horizontal="center" vertical="top"/>
    </xf>
    <xf numFmtId="1" fontId="3" fillId="6" borderId="47" xfId="1" applyNumberFormat="1" applyFont="1" applyFill="1" applyBorder="1" applyAlignment="1">
      <alignment horizontal="center" vertical="top" wrapText="1"/>
    </xf>
    <xf numFmtId="3" fontId="3" fillId="6" borderId="95" xfId="1" applyNumberFormat="1" applyFont="1" applyFill="1" applyBorder="1" applyAlignment="1">
      <alignment horizontal="center" vertical="top" wrapText="1"/>
    </xf>
    <xf numFmtId="3" fontId="3" fillId="6" borderId="45" xfId="1" applyNumberFormat="1" applyFont="1" applyFill="1" applyBorder="1" applyAlignment="1">
      <alignment horizontal="center" vertical="top" wrapText="1"/>
    </xf>
    <xf numFmtId="3" fontId="3" fillId="6" borderId="99" xfId="1" applyNumberFormat="1" applyFont="1" applyFill="1" applyBorder="1" applyAlignment="1">
      <alignment horizontal="center" vertical="top" wrapText="1"/>
    </xf>
    <xf numFmtId="3" fontId="3" fillId="6" borderId="47" xfId="0" applyNumberFormat="1" applyFont="1" applyFill="1" applyBorder="1" applyAlignment="1">
      <alignment horizontal="center" wrapText="1"/>
    </xf>
    <xf numFmtId="165" fontId="3" fillId="6" borderId="110" xfId="0" applyNumberFormat="1" applyFont="1" applyFill="1" applyBorder="1" applyAlignment="1">
      <alignment vertical="top"/>
    </xf>
    <xf numFmtId="3" fontId="3" fillId="0" borderId="44"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0" fontId="3" fillId="6" borderId="9" xfId="1" applyFont="1" applyFill="1" applyBorder="1" applyAlignment="1">
      <alignment horizontal="left" vertical="top" wrapText="1"/>
    </xf>
    <xf numFmtId="0" fontId="5" fillId="6" borderId="31" xfId="0" applyFont="1" applyFill="1" applyBorder="1" applyAlignment="1">
      <alignment horizontal="left" vertical="top" wrapText="1"/>
    </xf>
    <xf numFmtId="0" fontId="5" fillId="9" borderId="60"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0" fontId="3" fillId="6" borderId="19" xfId="0" applyFont="1" applyFill="1" applyBorder="1" applyAlignment="1">
      <alignment horizontal="left" vertical="top" wrapText="1"/>
    </xf>
    <xf numFmtId="0" fontId="3" fillId="6" borderId="19" xfId="0" applyFont="1" applyFill="1" applyBorder="1" applyAlignment="1">
      <alignment horizontal="center" vertical="center" textRotation="90" wrapText="1"/>
    </xf>
    <xf numFmtId="0" fontId="3" fillId="6" borderId="15" xfId="0" applyFont="1" applyFill="1" applyBorder="1" applyAlignment="1">
      <alignment horizontal="center" vertical="center" textRotation="90" wrapText="1"/>
    </xf>
    <xf numFmtId="0" fontId="3" fillId="6" borderId="31" xfId="0" applyFont="1" applyFill="1" applyBorder="1" applyAlignment="1">
      <alignment horizontal="center" vertical="center" textRotation="90" wrapText="1"/>
    </xf>
    <xf numFmtId="0" fontId="3" fillId="6" borderId="15" xfId="0" applyFont="1" applyFill="1" applyBorder="1" applyAlignment="1">
      <alignment horizontal="left" vertical="top" wrapText="1"/>
    </xf>
    <xf numFmtId="49" fontId="5" fillId="10" borderId="9" xfId="0" applyNumberFormat="1" applyFont="1" applyFill="1" applyBorder="1" applyAlignment="1">
      <alignment horizontal="center" vertical="top"/>
    </xf>
    <xf numFmtId="0" fontId="3" fillId="6" borderId="45" xfId="0" applyFont="1" applyFill="1" applyBorder="1" applyAlignment="1">
      <alignment horizontal="left" vertical="top" wrapText="1"/>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31" xfId="0" applyFont="1" applyFill="1" applyBorder="1" applyAlignment="1">
      <alignment horizontal="left" vertical="top" wrapText="1"/>
    </xf>
    <xf numFmtId="49" fontId="5" fillId="6" borderId="4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45" xfId="0" applyFont="1" applyFill="1" applyBorder="1" applyAlignment="1">
      <alignment horizontal="center" vertical="center" textRotation="90" wrapText="1"/>
    </xf>
    <xf numFmtId="0" fontId="3" fillId="6" borderId="47"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wrapText="1"/>
    </xf>
    <xf numFmtId="0" fontId="3" fillId="6" borderId="42" xfId="1" applyFont="1" applyFill="1" applyBorder="1" applyAlignment="1">
      <alignment vertical="top" wrapText="1"/>
    </xf>
    <xf numFmtId="0" fontId="7" fillId="6" borderId="28" xfId="0" applyFont="1" applyFill="1" applyBorder="1" applyAlignment="1">
      <alignment vertical="top"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3" fillId="6" borderId="100"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7"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49" fontId="5" fillId="10" borderId="7"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56" xfId="0" applyNumberFormat="1" applyFont="1" applyFill="1" applyBorder="1" applyAlignment="1">
      <alignment horizontal="center" vertical="top"/>
    </xf>
    <xf numFmtId="0" fontId="2" fillId="6" borderId="19" xfId="0" applyFont="1" applyFill="1" applyBorder="1" applyAlignment="1">
      <alignment horizontal="center" vertical="center" textRotation="90" wrapText="1"/>
    </xf>
    <xf numFmtId="0" fontId="2" fillId="6" borderId="15" xfId="0" applyFont="1" applyFill="1" applyBorder="1" applyAlignment="1">
      <alignment horizontal="center" vertical="center" textRotation="90" wrapText="1"/>
    </xf>
    <xf numFmtId="0" fontId="3" fillId="6" borderId="9" xfId="1" applyFont="1" applyFill="1" applyBorder="1" applyAlignment="1">
      <alignment vertical="top" wrapText="1"/>
    </xf>
    <xf numFmtId="0" fontId="3" fillId="6" borderId="15" xfId="0" applyFont="1" applyFill="1" applyBorder="1" applyAlignment="1">
      <alignment vertical="top" wrapText="1"/>
    </xf>
    <xf numFmtId="0" fontId="3" fillId="6" borderId="31" xfId="0" applyFont="1" applyFill="1" applyBorder="1" applyAlignment="1">
      <alignment vertical="top" wrapText="1"/>
    </xf>
    <xf numFmtId="0" fontId="3" fillId="6" borderId="42" xfId="0" applyFont="1" applyFill="1" applyBorder="1" applyAlignment="1">
      <alignment vertical="top" wrapText="1"/>
    </xf>
    <xf numFmtId="49" fontId="5" fillId="6" borderId="15" xfId="0" applyNumberFormat="1" applyFont="1" applyFill="1" applyBorder="1" applyAlignment="1">
      <alignment horizontal="center" vertical="top" wrapText="1"/>
    </xf>
    <xf numFmtId="0" fontId="7" fillId="9" borderId="60" xfId="0" applyFont="1" applyFill="1" applyBorder="1" applyAlignment="1">
      <alignment horizontal="left" vertical="top" wrapText="1"/>
    </xf>
    <xf numFmtId="0" fontId="3" fillId="6" borderId="88" xfId="0" applyFont="1" applyFill="1" applyBorder="1" applyAlignment="1">
      <alignment vertical="top" wrapText="1"/>
    </xf>
    <xf numFmtId="49" fontId="5" fillId="0" borderId="0" xfId="0" applyNumberFormat="1" applyFont="1" applyFill="1" applyBorder="1" applyAlignment="1">
      <alignment horizontal="center" vertical="top" wrapText="1"/>
    </xf>
    <xf numFmtId="0" fontId="3" fillId="6" borderId="62" xfId="0" applyFont="1" applyFill="1" applyBorder="1" applyAlignment="1">
      <alignment horizontal="left" vertical="top" wrapText="1"/>
    </xf>
    <xf numFmtId="0" fontId="7" fillId="6" borderId="15" xfId="0" applyFont="1" applyFill="1" applyBorder="1" applyAlignment="1">
      <alignment vertical="top" wrapText="1"/>
    </xf>
    <xf numFmtId="0" fontId="3" fillId="6" borderId="37" xfId="0" applyFont="1" applyFill="1" applyBorder="1" applyAlignment="1">
      <alignment vertical="top" wrapText="1"/>
    </xf>
    <xf numFmtId="3" fontId="3" fillId="6" borderId="17" xfId="0" applyNumberFormat="1" applyFont="1" applyFill="1" applyBorder="1" applyAlignment="1">
      <alignment horizontal="left" vertical="top" wrapText="1"/>
    </xf>
    <xf numFmtId="0" fontId="7" fillId="6" borderId="17" xfId="0" applyFont="1" applyFill="1" applyBorder="1" applyAlignment="1">
      <alignment horizontal="left" vertical="top" wrapText="1"/>
    </xf>
    <xf numFmtId="0" fontId="0" fillId="6" borderId="17" xfId="0" applyFill="1" applyBorder="1" applyAlignment="1">
      <alignment horizontal="left" vertical="top" wrapText="1"/>
    </xf>
    <xf numFmtId="3" fontId="3" fillId="0" borderId="47" xfId="0" applyNumberFormat="1" applyFont="1" applyFill="1" applyBorder="1" applyAlignment="1">
      <alignment horizontal="center" vertical="top" wrapText="1"/>
    </xf>
    <xf numFmtId="0" fontId="3" fillId="6" borderId="28" xfId="1" applyFont="1" applyFill="1" applyBorder="1" applyAlignment="1">
      <alignment vertical="top" wrapText="1"/>
    </xf>
    <xf numFmtId="0" fontId="3" fillId="6" borderId="9" xfId="0" applyFont="1" applyFill="1" applyBorder="1" applyAlignment="1">
      <alignment vertical="top" wrapText="1"/>
    </xf>
    <xf numFmtId="0" fontId="3" fillId="6" borderId="8" xfId="0" applyFont="1" applyFill="1" applyBorder="1" applyAlignment="1">
      <alignment horizontal="center" vertical="top" wrapText="1"/>
    </xf>
    <xf numFmtId="0" fontId="7" fillId="0" borderId="15" xfId="0" applyFont="1" applyBorder="1" applyAlignment="1">
      <alignment horizontal="left" vertical="top" wrapText="1"/>
    </xf>
    <xf numFmtId="49" fontId="3" fillId="6" borderId="21" xfId="0" applyNumberFormat="1" applyFont="1" applyFill="1" applyBorder="1" applyAlignment="1">
      <alignment horizontal="center" vertical="center" wrapText="1"/>
    </xf>
    <xf numFmtId="0" fontId="3" fillId="6" borderId="37" xfId="0" applyFont="1" applyFill="1" applyBorder="1" applyAlignment="1">
      <alignment horizontal="left" vertical="top" wrapText="1"/>
    </xf>
    <xf numFmtId="49" fontId="3" fillId="6" borderId="8" xfId="0" applyNumberFormat="1" applyFont="1" applyFill="1" applyBorder="1" applyAlignment="1">
      <alignment horizontal="center" vertical="top" wrapText="1"/>
    </xf>
    <xf numFmtId="0" fontId="7" fillId="6" borderId="8" xfId="0" applyFont="1" applyFill="1" applyBorder="1" applyAlignment="1">
      <alignment horizontal="center" vertical="top" wrapText="1"/>
    </xf>
    <xf numFmtId="0" fontId="7" fillId="0" borderId="8" xfId="0" applyFont="1" applyBorder="1" applyAlignment="1">
      <alignment horizontal="center" vertical="top" wrapText="1"/>
    </xf>
    <xf numFmtId="49" fontId="5" fillId="6" borderId="1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49" fontId="5" fillId="8" borderId="15" xfId="0" applyNumberFormat="1" applyFont="1" applyFill="1" applyBorder="1" applyAlignment="1">
      <alignment horizontal="center" vertical="top" wrapText="1"/>
    </xf>
    <xf numFmtId="0" fontId="7" fillId="0" borderId="0" xfId="0" applyFont="1" applyAlignment="1">
      <alignment horizontal="right"/>
    </xf>
    <xf numFmtId="49" fontId="3" fillId="6" borderId="8" xfId="0" applyNumberFormat="1" applyFont="1" applyFill="1" applyBorder="1" applyAlignment="1">
      <alignment horizontal="center" vertical="center" wrapText="1"/>
    </xf>
    <xf numFmtId="0" fontId="7" fillId="6" borderId="8" xfId="0" applyFont="1" applyFill="1" applyBorder="1" applyAlignment="1">
      <alignment horizontal="center" vertical="center" wrapText="1"/>
    </xf>
    <xf numFmtId="0" fontId="3" fillId="6" borderId="54" xfId="0" applyFont="1" applyFill="1" applyBorder="1" applyAlignment="1">
      <alignment vertical="top" wrapText="1"/>
    </xf>
    <xf numFmtId="49" fontId="5" fillId="6" borderId="30" xfId="0" applyNumberFormat="1" applyFont="1" applyFill="1" applyBorder="1" applyAlignment="1">
      <alignment horizontal="center" vertical="top"/>
    </xf>
    <xf numFmtId="0" fontId="2" fillId="6" borderId="31" xfId="0" applyFont="1" applyFill="1" applyBorder="1" applyAlignment="1">
      <alignment horizontal="center" vertical="center" textRotation="90" wrapText="1"/>
    </xf>
    <xf numFmtId="0" fontId="3" fillId="6" borderId="42" xfId="0" applyFont="1" applyFill="1" applyBorder="1" applyAlignment="1">
      <alignment horizontal="left" vertical="top" wrapText="1"/>
    </xf>
    <xf numFmtId="0" fontId="7" fillId="0" borderId="8" xfId="0" applyFont="1" applyBorder="1" applyAlignment="1">
      <alignment horizontal="center" vertical="center" wrapText="1"/>
    </xf>
    <xf numFmtId="49" fontId="5" fillId="8" borderId="25" xfId="0" applyNumberFormat="1" applyFont="1" applyFill="1" applyBorder="1" applyAlignment="1">
      <alignment horizontal="center" vertical="top"/>
    </xf>
    <xf numFmtId="0" fontId="3" fillId="6" borderId="42" xfId="0" applyFont="1" applyFill="1" applyBorder="1" applyAlignment="1">
      <alignment vertical="top" wrapText="1"/>
    </xf>
    <xf numFmtId="3" fontId="35" fillId="6" borderId="31" xfId="0" applyNumberFormat="1" applyFont="1" applyFill="1" applyBorder="1" applyAlignment="1">
      <alignment horizontal="center" vertical="top" wrapText="1"/>
    </xf>
    <xf numFmtId="3" fontId="35" fillId="6" borderId="29" xfId="0" applyNumberFormat="1" applyFont="1" applyFill="1" applyBorder="1" applyAlignment="1">
      <alignment horizontal="center" vertical="top" wrapText="1"/>
    </xf>
    <xf numFmtId="3" fontId="16" fillId="6" borderId="29" xfId="0" applyNumberFormat="1" applyFont="1" applyFill="1" applyBorder="1" applyAlignment="1">
      <alignment horizontal="center" vertical="top" wrapText="1"/>
    </xf>
    <xf numFmtId="3" fontId="16" fillId="6" borderId="29" xfId="0" applyNumberFormat="1" applyFont="1" applyFill="1" applyBorder="1" applyAlignment="1">
      <alignment horizontal="center" vertical="top"/>
    </xf>
    <xf numFmtId="3" fontId="16" fillId="6" borderId="30" xfId="0" applyNumberFormat="1" applyFont="1" applyFill="1" applyBorder="1" applyAlignment="1">
      <alignment horizontal="center" vertical="top"/>
    </xf>
    <xf numFmtId="165" fontId="3" fillId="6" borderId="89" xfId="0" applyNumberFormat="1" applyFont="1" applyFill="1" applyBorder="1" applyAlignment="1">
      <alignment horizontal="center" vertical="top"/>
    </xf>
    <xf numFmtId="0" fontId="3" fillId="6" borderId="84" xfId="0" applyFont="1" applyFill="1" applyBorder="1" applyAlignment="1">
      <alignment horizontal="left" vertical="top" wrapText="1"/>
    </xf>
    <xf numFmtId="165" fontId="16" fillId="6" borderId="46" xfId="0" applyNumberFormat="1" applyFont="1" applyFill="1" applyBorder="1" applyAlignment="1">
      <alignment horizontal="center" vertical="top"/>
    </xf>
    <xf numFmtId="165" fontId="16" fillId="6" borderId="14" xfId="0" applyNumberFormat="1" applyFont="1" applyFill="1" applyBorder="1" applyAlignment="1">
      <alignment horizontal="center" vertical="top"/>
    </xf>
    <xf numFmtId="165" fontId="16" fillId="6" borderId="67" xfId="0" applyNumberFormat="1" applyFont="1" applyFill="1" applyBorder="1" applyAlignment="1">
      <alignment horizontal="center" vertical="top"/>
    </xf>
    <xf numFmtId="3" fontId="35" fillId="6" borderId="19" xfId="0" applyNumberFormat="1" applyFont="1" applyFill="1" applyBorder="1" applyAlignment="1">
      <alignment horizontal="center" vertical="top" wrapText="1"/>
    </xf>
    <xf numFmtId="3" fontId="16" fillId="6" borderId="19" xfId="0" applyNumberFormat="1" applyFont="1" applyFill="1" applyBorder="1" applyAlignment="1">
      <alignment horizontal="center" vertical="top" wrapText="1"/>
    </xf>
    <xf numFmtId="3" fontId="16" fillId="6" borderId="2" xfId="0" applyNumberFormat="1" applyFont="1" applyFill="1" applyBorder="1" applyAlignment="1">
      <alignment horizontal="center" vertical="top" wrapText="1"/>
    </xf>
    <xf numFmtId="165" fontId="16" fillId="6" borderId="105" xfId="0" applyNumberFormat="1" applyFont="1" applyFill="1" applyBorder="1" applyAlignment="1">
      <alignment horizontal="center" vertical="top"/>
    </xf>
    <xf numFmtId="3" fontId="16" fillId="6" borderId="99" xfId="1" applyNumberFormat="1" applyFont="1" applyFill="1" applyBorder="1" applyAlignment="1">
      <alignment horizontal="center" vertical="top"/>
    </xf>
    <xf numFmtId="3" fontId="16" fillId="6" borderId="93" xfId="1" applyNumberFormat="1" applyFont="1" applyFill="1" applyBorder="1" applyAlignment="1">
      <alignment horizontal="center" vertical="top"/>
    </xf>
    <xf numFmtId="3" fontId="35" fillId="6" borderId="104" xfId="1" applyNumberFormat="1" applyFont="1" applyFill="1" applyBorder="1" applyAlignment="1">
      <alignment horizontal="center" vertical="top"/>
    </xf>
    <xf numFmtId="3" fontId="35" fillId="6" borderId="99" xfId="1" applyNumberFormat="1" applyFont="1" applyFill="1" applyBorder="1" applyAlignment="1">
      <alignment horizontal="center" vertical="top"/>
    </xf>
    <xf numFmtId="0" fontId="16" fillId="6" borderId="94" xfId="0" applyFont="1" applyFill="1" applyBorder="1" applyAlignment="1">
      <alignment horizontal="center" vertical="top"/>
    </xf>
    <xf numFmtId="165" fontId="16" fillId="6" borderId="100" xfId="0" applyNumberFormat="1" applyFont="1" applyFill="1" applyBorder="1" applyAlignment="1">
      <alignment horizontal="center" vertical="top"/>
    </xf>
    <xf numFmtId="165" fontId="16" fillId="6" borderId="92" xfId="0" applyNumberFormat="1" applyFont="1" applyFill="1" applyBorder="1" applyAlignment="1">
      <alignment horizontal="center" vertical="top"/>
    </xf>
    <xf numFmtId="165" fontId="16" fillId="6" borderId="104" xfId="0" applyNumberFormat="1" applyFont="1" applyFill="1" applyBorder="1" applyAlignment="1">
      <alignment horizontal="center" vertical="top"/>
    </xf>
    <xf numFmtId="0" fontId="16" fillId="6" borderId="8" xfId="0" applyFont="1" applyFill="1" applyBorder="1" applyAlignment="1">
      <alignment horizontal="center" vertical="top"/>
    </xf>
    <xf numFmtId="0" fontId="16" fillId="6" borderId="96" xfId="0" applyFont="1" applyFill="1" applyBorder="1" applyAlignment="1">
      <alignment horizontal="center" vertical="top"/>
    </xf>
    <xf numFmtId="165" fontId="16" fillId="6" borderId="90" xfId="0" applyNumberFormat="1" applyFont="1" applyFill="1" applyBorder="1" applyAlignment="1">
      <alignment horizontal="center" vertical="top"/>
    </xf>
    <xf numFmtId="165" fontId="16" fillId="6" borderId="91" xfId="0" applyNumberFormat="1" applyFont="1" applyFill="1" applyBorder="1" applyAlignment="1">
      <alignment horizontal="center" vertical="top"/>
    </xf>
    <xf numFmtId="165" fontId="16" fillId="6" borderId="102" xfId="0" applyNumberFormat="1" applyFont="1" applyFill="1" applyBorder="1" applyAlignment="1">
      <alignment horizontal="center" vertical="top"/>
    </xf>
    <xf numFmtId="165" fontId="16" fillId="6" borderId="101" xfId="0" applyNumberFormat="1" applyFont="1" applyFill="1" applyBorder="1" applyAlignment="1">
      <alignment horizontal="center" vertical="top"/>
    </xf>
    <xf numFmtId="165" fontId="16" fillId="0" borderId="9" xfId="0" applyNumberFormat="1" applyFont="1" applyFill="1" applyBorder="1" applyAlignment="1">
      <alignment horizontal="center" vertical="top"/>
    </xf>
    <xf numFmtId="165" fontId="16" fillId="6" borderId="9" xfId="0" applyNumberFormat="1" applyFont="1" applyFill="1" applyBorder="1" applyAlignment="1">
      <alignment horizontal="center" vertical="top"/>
    </xf>
    <xf numFmtId="3" fontId="35" fillId="6" borderId="104" xfId="0" applyNumberFormat="1" applyFont="1" applyFill="1" applyBorder="1" applyAlignment="1">
      <alignment horizontal="center" vertical="top"/>
    </xf>
    <xf numFmtId="3" fontId="16" fillId="6" borderId="101" xfId="0" applyNumberFormat="1" applyFont="1" applyFill="1" applyBorder="1" applyAlignment="1">
      <alignment horizontal="center" vertical="top"/>
    </xf>
    <xf numFmtId="165" fontId="16" fillId="0" borderId="75" xfId="0" applyNumberFormat="1" applyFont="1" applyFill="1" applyBorder="1" applyAlignment="1">
      <alignment horizontal="center" vertical="top" wrapText="1"/>
    </xf>
    <xf numFmtId="3" fontId="16" fillId="6" borderId="104" xfId="0" applyNumberFormat="1" applyFont="1" applyFill="1" applyBorder="1" applyAlignment="1">
      <alignment horizontal="center" vertical="top"/>
    </xf>
    <xf numFmtId="165" fontId="16" fillId="6" borderId="75" xfId="0" applyNumberFormat="1" applyFont="1" applyFill="1" applyBorder="1" applyAlignment="1">
      <alignment horizontal="center" vertical="top"/>
    </xf>
    <xf numFmtId="165" fontId="37" fillId="6" borderId="25" xfId="0" applyNumberFormat="1" applyFont="1" applyFill="1" applyBorder="1" applyAlignment="1">
      <alignment horizontal="center" vertical="top"/>
    </xf>
    <xf numFmtId="165" fontId="37" fillId="6" borderId="51" xfId="0" applyNumberFormat="1" applyFont="1" applyFill="1" applyBorder="1" applyAlignment="1">
      <alignment horizontal="center" vertical="top"/>
    </xf>
    <xf numFmtId="0" fontId="35" fillId="6" borderId="44" xfId="0" applyNumberFormat="1" applyFont="1" applyFill="1" applyBorder="1" applyAlignment="1">
      <alignment horizontal="center" vertical="top" wrapText="1"/>
    </xf>
    <xf numFmtId="0" fontId="16" fillId="6" borderId="47" xfId="0" applyNumberFormat="1" applyFont="1" applyFill="1" applyBorder="1" applyAlignment="1">
      <alignment horizontal="center" vertical="top" wrapText="1"/>
    </xf>
    <xf numFmtId="49" fontId="5" fillId="6" borderId="15" xfId="0" applyNumberFormat="1" applyFont="1" applyFill="1" applyBorder="1" applyAlignment="1">
      <alignment horizontal="center" vertical="top" wrapText="1"/>
    </xf>
    <xf numFmtId="49" fontId="5" fillId="6" borderId="17"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5" fillId="8" borderId="15" xfId="0" applyNumberFormat="1" applyFont="1" applyFill="1" applyBorder="1" applyAlignment="1">
      <alignment horizontal="center" vertical="top" wrapText="1"/>
    </xf>
    <xf numFmtId="0" fontId="3" fillId="6" borderId="8" xfId="0" applyFont="1" applyFill="1" applyBorder="1" applyAlignment="1">
      <alignment horizontal="center" vertical="top" wrapText="1"/>
    </xf>
    <xf numFmtId="1" fontId="38" fillId="6" borderId="77" xfId="0" applyNumberFormat="1" applyFont="1" applyFill="1" applyBorder="1" applyAlignment="1">
      <alignment horizontal="center" vertical="top"/>
    </xf>
    <xf numFmtId="0" fontId="16" fillId="6" borderId="2" xfId="1" applyFont="1" applyFill="1" applyBorder="1" applyAlignment="1">
      <alignment vertical="top" wrapText="1"/>
    </xf>
    <xf numFmtId="3" fontId="3" fillId="6" borderId="16" xfId="0" applyNumberFormat="1" applyFont="1" applyFill="1" applyBorder="1" applyAlignment="1">
      <alignment horizontal="left" vertical="top" wrapText="1"/>
    </xf>
    <xf numFmtId="49" fontId="5" fillId="6" borderId="16" xfId="0" applyNumberFormat="1" applyFont="1" applyFill="1" applyBorder="1" applyAlignment="1">
      <alignment horizontal="center" vertical="top"/>
    </xf>
    <xf numFmtId="0" fontId="3" fillId="6" borderId="2" xfId="1" applyFont="1" applyFill="1" applyBorder="1" applyAlignment="1">
      <alignment vertical="top" wrapText="1"/>
    </xf>
    <xf numFmtId="0" fontId="16" fillId="6" borderId="31" xfId="0" applyFont="1" applyFill="1" applyBorder="1" applyAlignment="1">
      <alignment vertical="top" wrapText="1"/>
    </xf>
    <xf numFmtId="0" fontId="16" fillId="6" borderId="14" xfId="0" applyFont="1" applyFill="1" applyBorder="1" applyAlignment="1">
      <alignment horizontal="left" vertical="top" wrapText="1"/>
    </xf>
    <xf numFmtId="0" fontId="3" fillId="6" borderId="8" xfId="0" applyFont="1" applyFill="1" applyBorder="1" applyAlignment="1">
      <alignment horizontal="center" vertical="top" wrapText="1"/>
    </xf>
    <xf numFmtId="165" fontId="16" fillId="13" borderId="15" xfId="3" applyNumberFormat="1" applyFont="1" applyFill="1" applyBorder="1" applyAlignment="1">
      <alignment horizontal="center" vertical="top"/>
    </xf>
    <xf numFmtId="165" fontId="16" fillId="6" borderId="0" xfId="0" applyNumberFormat="1" applyFont="1" applyFill="1" applyBorder="1" applyAlignment="1">
      <alignment horizontal="center" vertical="top" wrapText="1"/>
    </xf>
    <xf numFmtId="49" fontId="35" fillId="6" borderId="15" xfId="0" applyNumberFormat="1" applyFont="1" applyFill="1" applyBorder="1" applyAlignment="1">
      <alignment horizontal="center" vertical="top" wrapText="1"/>
    </xf>
    <xf numFmtId="165" fontId="16" fillId="13" borderId="21" xfId="3" applyNumberFormat="1" applyFont="1" applyFill="1" applyBorder="1" applyAlignment="1">
      <alignment horizontal="center" vertical="top"/>
    </xf>
    <xf numFmtId="165" fontId="16" fillId="13" borderId="8" xfId="3" applyNumberFormat="1" applyFont="1" applyFill="1" applyBorder="1" applyAlignment="1">
      <alignment horizontal="center" vertical="top"/>
    </xf>
    <xf numFmtId="49" fontId="16" fillId="6" borderId="15" xfId="0" applyNumberFormat="1" applyFont="1" applyFill="1" applyBorder="1" applyAlignment="1">
      <alignment horizontal="center" vertical="top" wrapText="1"/>
    </xf>
    <xf numFmtId="49" fontId="16" fillId="6" borderId="47" xfId="0" applyNumberFormat="1" applyFont="1" applyFill="1" applyBorder="1" applyAlignment="1">
      <alignment horizontal="left" vertical="top" wrapText="1"/>
    </xf>
    <xf numFmtId="165" fontId="16" fillId="6" borderId="8" xfId="0" applyNumberFormat="1" applyFont="1" applyFill="1" applyBorder="1" applyAlignment="1">
      <alignment horizontal="center" vertical="top" wrapText="1"/>
    </xf>
    <xf numFmtId="0" fontId="39" fillId="0" borderId="0" xfId="0" applyFont="1" applyBorder="1" applyAlignment="1">
      <alignment vertical="top"/>
    </xf>
    <xf numFmtId="165" fontId="39" fillId="0" borderId="0" xfId="0" applyNumberFormat="1" applyFont="1" applyBorder="1" applyAlignment="1">
      <alignment vertical="top"/>
    </xf>
    <xf numFmtId="165" fontId="37" fillId="6" borderId="43" xfId="0" applyNumberFormat="1" applyFont="1" applyFill="1" applyBorder="1" applyAlignment="1">
      <alignment horizontal="center" vertical="top"/>
    </xf>
    <xf numFmtId="0" fontId="3" fillId="0" borderId="0" xfId="0" applyFont="1" applyAlignment="1">
      <alignment horizontal="center" vertical="center"/>
    </xf>
    <xf numFmtId="0" fontId="3" fillId="6" borderId="9" xfId="1" applyFont="1" applyFill="1" applyBorder="1" applyAlignment="1">
      <alignment horizontal="left" vertical="top" wrapText="1"/>
    </xf>
    <xf numFmtId="0" fontId="5" fillId="6" borderId="25" xfId="0" applyFont="1" applyFill="1" applyBorder="1" applyAlignment="1">
      <alignment horizontal="left" vertical="top" wrapText="1"/>
    </xf>
    <xf numFmtId="0" fontId="5" fillId="6" borderId="31" xfId="0" applyFont="1" applyFill="1" applyBorder="1" applyAlignment="1">
      <alignment horizontal="left" vertical="top" wrapText="1"/>
    </xf>
    <xf numFmtId="0" fontId="5" fillId="9" borderId="70" xfId="0" applyFont="1" applyFill="1" applyBorder="1" applyAlignment="1">
      <alignment horizontal="left" vertical="top" wrapText="1"/>
    </xf>
    <xf numFmtId="0" fontId="5" fillId="9" borderId="60"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0" fontId="3" fillId="6" borderId="19" xfId="0" applyFont="1" applyFill="1" applyBorder="1" applyAlignment="1">
      <alignment horizontal="left" vertical="top" wrapText="1"/>
    </xf>
    <xf numFmtId="0" fontId="0" fillId="6" borderId="15" xfId="0" applyFill="1" applyBorder="1" applyAlignment="1">
      <alignment vertical="top" wrapText="1"/>
    </xf>
    <xf numFmtId="0" fontId="3" fillId="6" borderId="19" xfId="0" applyFont="1" applyFill="1" applyBorder="1" applyAlignment="1">
      <alignment horizontal="center" vertical="center" textRotation="90" wrapText="1"/>
    </xf>
    <xf numFmtId="0" fontId="3" fillId="6" borderId="15" xfId="0" applyFont="1" applyFill="1" applyBorder="1" applyAlignment="1">
      <alignment horizontal="center" vertical="center" textRotation="90" wrapText="1"/>
    </xf>
    <xf numFmtId="0" fontId="3" fillId="6" borderId="31" xfId="0" applyFont="1" applyFill="1" applyBorder="1" applyAlignment="1">
      <alignment horizontal="center" vertical="center" textRotation="90" wrapText="1"/>
    </xf>
    <xf numFmtId="0" fontId="5" fillId="4" borderId="67" xfId="0" applyFont="1" applyFill="1" applyBorder="1" applyAlignment="1">
      <alignment horizontal="left" vertical="top" wrapText="1"/>
    </xf>
    <xf numFmtId="0" fontId="5" fillId="4" borderId="40"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10" borderId="34" xfId="0" applyFont="1" applyFill="1" applyBorder="1" applyAlignment="1">
      <alignment horizontal="left" vertical="top"/>
    </xf>
    <xf numFmtId="0" fontId="5" fillId="10" borderId="40" xfId="0" applyFont="1" applyFill="1" applyBorder="1" applyAlignment="1">
      <alignment horizontal="left" vertical="top"/>
    </xf>
    <xf numFmtId="0" fontId="5" fillId="10" borderId="41" xfId="0" applyFont="1" applyFill="1" applyBorder="1" applyAlignment="1">
      <alignment horizontal="left" vertical="top"/>
    </xf>
    <xf numFmtId="0" fontId="5" fillId="3" borderId="34" xfId="0" applyFont="1" applyFill="1" applyBorder="1" applyAlignment="1">
      <alignment horizontal="left" vertical="top" wrapText="1"/>
    </xf>
    <xf numFmtId="0" fontId="5" fillId="3" borderId="40" xfId="0" applyFont="1" applyFill="1" applyBorder="1" applyAlignment="1">
      <alignment horizontal="left" vertical="top" wrapText="1"/>
    </xf>
    <xf numFmtId="0" fontId="5" fillId="3" borderId="41" xfId="0" applyFont="1" applyFill="1" applyBorder="1" applyAlignment="1">
      <alignment horizontal="left" vertical="top" wrapText="1"/>
    </xf>
    <xf numFmtId="0" fontId="3" fillId="6" borderId="15" xfId="0" applyFont="1" applyFill="1" applyBorder="1" applyAlignment="1">
      <alignment horizontal="left" vertical="top" wrapText="1"/>
    </xf>
    <xf numFmtId="49" fontId="5" fillId="10" borderId="9" xfId="0" applyNumberFormat="1" applyFont="1" applyFill="1" applyBorder="1" applyAlignment="1">
      <alignment horizontal="center" vertical="top"/>
    </xf>
    <xf numFmtId="0" fontId="5" fillId="6" borderId="19" xfId="0" applyFont="1" applyFill="1" applyBorder="1" applyAlignment="1">
      <alignment horizontal="left" vertical="top" wrapText="1"/>
    </xf>
    <xf numFmtId="0" fontId="0" fillId="6" borderId="15" xfId="0" applyFill="1" applyBorder="1" applyAlignment="1">
      <alignment horizontal="left" vertical="top" wrapText="1"/>
    </xf>
    <xf numFmtId="49" fontId="5" fillId="2" borderId="17"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29" xfId="0" applyFont="1" applyFill="1" applyBorder="1" applyAlignment="1">
      <alignment horizontal="left" vertical="top" wrapText="1"/>
    </xf>
    <xf numFmtId="0" fontId="8" fillId="6" borderId="19" xfId="0" applyFont="1" applyFill="1" applyBorder="1" applyAlignment="1">
      <alignment horizontal="center" vertical="center" textRotation="90" wrapText="1"/>
    </xf>
    <xf numFmtId="0" fontId="1" fillId="0" borderId="31" xfId="0" applyFont="1" applyBorder="1" applyAlignment="1">
      <alignment horizontal="center" vertical="center" textRotation="90" wrapText="1"/>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31" xfId="0" applyFont="1" applyFill="1" applyBorder="1" applyAlignment="1">
      <alignment horizontal="left" vertical="top" wrapText="1"/>
    </xf>
    <xf numFmtId="0" fontId="5" fillId="0" borderId="69" xfId="0" applyFont="1" applyBorder="1" applyAlignment="1">
      <alignment horizontal="center" vertical="center"/>
    </xf>
    <xf numFmtId="0" fontId="5" fillId="0" borderId="63" xfId="0" applyFont="1" applyBorder="1" applyAlignment="1">
      <alignment horizontal="center" vertical="center"/>
    </xf>
    <xf numFmtId="0" fontId="5" fillId="0" borderId="58" xfId="0" applyFont="1" applyBorder="1" applyAlignment="1">
      <alignment horizontal="center" vertical="center"/>
    </xf>
    <xf numFmtId="0" fontId="3" fillId="0" borderId="4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0" xfId="0" applyFont="1" applyBorder="1" applyAlignment="1">
      <alignment horizontal="center" vertical="center"/>
    </xf>
    <xf numFmtId="0" fontId="3" fillId="0" borderId="41" xfId="0" applyFont="1" applyBorder="1" applyAlignment="1">
      <alignment horizontal="center" vertical="center"/>
    </xf>
    <xf numFmtId="49" fontId="5" fillId="7" borderId="69" xfId="0" applyNumberFormat="1" applyFont="1" applyFill="1" applyBorder="1" applyAlignment="1">
      <alignment horizontal="left" vertical="top" wrapText="1"/>
    </xf>
    <xf numFmtId="49" fontId="5" fillId="7" borderId="63" xfId="0" applyNumberFormat="1" applyFont="1" applyFill="1" applyBorder="1" applyAlignment="1">
      <alignment horizontal="left" vertical="top" wrapText="1"/>
    </xf>
    <xf numFmtId="49" fontId="5" fillId="7" borderId="58" xfId="0" applyNumberFormat="1" applyFont="1" applyFill="1" applyBorder="1" applyAlignment="1">
      <alignment horizontal="left" vertical="top" wrapText="1"/>
    </xf>
    <xf numFmtId="3" fontId="3" fillId="0" borderId="44" xfId="0" applyNumberFormat="1" applyFont="1" applyBorder="1" applyAlignment="1">
      <alignment horizontal="center" vertical="center" textRotation="90" shrinkToFit="1"/>
    </xf>
    <xf numFmtId="3" fontId="3" fillId="0" borderId="47" xfId="0" applyNumberFormat="1" applyFont="1" applyBorder="1" applyAlignment="1">
      <alignment horizontal="center" vertical="center" textRotation="90" shrinkToFit="1"/>
    </xf>
    <xf numFmtId="3" fontId="3" fillId="0" borderId="56" xfId="0" applyNumberFormat="1" applyFont="1" applyBorder="1" applyAlignment="1">
      <alignment horizontal="center" vertical="center" textRotation="90" shrinkToFit="1"/>
    </xf>
    <xf numFmtId="3" fontId="3" fillId="0" borderId="44" xfId="0" applyNumberFormat="1" applyFont="1" applyBorder="1" applyAlignment="1">
      <alignment horizontal="center" vertical="center" textRotation="90" wrapText="1"/>
    </xf>
    <xf numFmtId="3" fontId="3" fillId="0" borderId="47" xfId="0" applyNumberFormat="1" applyFont="1" applyBorder="1" applyAlignment="1">
      <alignment horizontal="center" vertical="center" textRotation="90" wrapText="1"/>
    </xf>
    <xf numFmtId="3" fontId="3" fillId="0" borderId="56" xfId="0" applyNumberFormat="1" applyFont="1" applyBorder="1" applyAlignment="1">
      <alignment horizontal="center" vertical="center" textRotation="90" wrapText="1"/>
    </xf>
    <xf numFmtId="3" fontId="3" fillId="0" borderId="43"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wrapText="1" shrinkToFit="1"/>
    </xf>
    <xf numFmtId="3" fontId="3" fillId="0" borderId="59" xfId="0" applyNumberFormat="1" applyFont="1" applyBorder="1" applyAlignment="1">
      <alignment horizontal="center" vertical="center" textRotation="90" wrapText="1" shrinkToFit="1"/>
    </xf>
    <xf numFmtId="0" fontId="3" fillId="0" borderId="43" xfId="0" applyFont="1" applyBorder="1" applyAlignment="1">
      <alignment horizontal="center" vertical="center" textRotation="90" wrapText="1"/>
    </xf>
    <xf numFmtId="0" fontId="3" fillId="0" borderId="8" xfId="0" applyFont="1" applyBorder="1" applyAlignment="1">
      <alignment horizontal="center" vertical="center" textRotation="90" wrapText="1"/>
    </xf>
    <xf numFmtId="0" fontId="3" fillId="0" borderId="59" xfId="0" applyFont="1" applyBorder="1" applyAlignment="1">
      <alignment horizontal="center" vertical="center" textRotation="90" wrapTex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5" xfId="0" applyNumberFormat="1" applyFont="1" applyBorder="1" applyAlignment="1">
      <alignment horizontal="center" vertical="center" textRotation="90" shrinkToFit="1"/>
    </xf>
    <xf numFmtId="3" fontId="3" fillId="0" borderId="23" xfId="0" applyNumberFormat="1" applyFont="1" applyBorder="1" applyAlignment="1">
      <alignment horizontal="center" vertical="center" textRotation="90" shrinkToFit="1"/>
    </xf>
    <xf numFmtId="3" fontId="3" fillId="0" borderId="44" xfId="0" applyNumberFormat="1" applyFont="1" applyBorder="1" applyAlignment="1">
      <alignment horizontal="center" vertical="center" shrinkToFit="1"/>
    </xf>
    <xf numFmtId="3" fontId="3" fillId="0" borderId="47" xfId="0" applyNumberFormat="1" applyFont="1" applyBorder="1" applyAlignment="1">
      <alignment horizontal="center" vertical="center" shrinkToFit="1"/>
    </xf>
    <xf numFmtId="3" fontId="3" fillId="0" borderId="56" xfId="0" applyNumberFormat="1" applyFont="1" applyBorder="1" applyAlignment="1">
      <alignment horizontal="center" vertical="center" shrinkToFit="1"/>
    </xf>
    <xf numFmtId="0" fontId="2" fillId="6" borderId="48" xfId="0" applyFont="1" applyFill="1" applyBorder="1" applyAlignment="1">
      <alignment horizontal="center" vertical="center" textRotation="90" wrapText="1"/>
    </xf>
    <xf numFmtId="0" fontId="2" fillId="6" borderId="36" xfId="0" applyFont="1" applyFill="1" applyBorder="1" applyAlignment="1">
      <alignment horizontal="center" vertical="center" textRotation="90" wrapText="1"/>
    </xf>
    <xf numFmtId="0" fontId="2" fillId="6" borderId="18"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0" fillId="0" borderId="31" xfId="0" applyBorder="1" applyAlignment="1">
      <alignment horizontal="center" vertical="center" textRotation="90" wrapText="1"/>
    </xf>
    <xf numFmtId="0" fontId="7" fillId="6" borderId="31" xfId="0" applyFont="1" applyFill="1" applyBorder="1" applyAlignment="1">
      <alignment horizontal="left" vertical="top" wrapText="1"/>
    </xf>
    <xf numFmtId="0" fontId="2" fillId="0" borderId="31" xfId="0" applyFont="1" applyBorder="1" applyAlignment="1">
      <alignment horizontal="center" vertical="center" textRotation="90" wrapText="1"/>
    </xf>
    <xf numFmtId="49" fontId="5" fillId="3" borderId="47" xfId="0" applyNumberFormat="1" applyFont="1" applyFill="1" applyBorder="1" applyAlignment="1">
      <alignment horizontal="center" vertical="top"/>
    </xf>
    <xf numFmtId="0" fontId="12" fillId="0" borderId="19" xfId="0" applyFont="1" applyBorder="1" applyAlignment="1">
      <alignment horizontal="center" vertical="center" textRotation="90" wrapText="1"/>
    </xf>
    <xf numFmtId="0" fontId="24" fillId="0" borderId="15" xfId="0" applyFont="1" applyBorder="1" applyAlignment="1">
      <alignment horizontal="center" wrapText="1"/>
    </xf>
    <xf numFmtId="0" fontId="3" fillId="6" borderId="45" xfId="0" applyFont="1" applyFill="1" applyBorder="1" applyAlignment="1">
      <alignment horizontal="center" vertical="center" textRotation="90" wrapText="1"/>
    </xf>
    <xf numFmtId="0" fontId="3" fillId="6" borderId="47"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wrapText="1"/>
    </xf>
    <xf numFmtId="0" fontId="3" fillId="6" borderId="42" xfId="1" applyFont="1" applyFill="1" applyBorder="1" applyAlignment="1">
      <alignment vertical="top" wrapText="1"/>
    </xf>
    <xf numFmtId="0" fontId="7" fillId="6" borderId="28" xfId="0" applyFont="1" applyFill="1" applyBorder="1" applyAlignment="1">
      <alignment vertical="top" wrapText="1"/>
    </xf>
    <xf numFmtId="0" fontId="0" fillId="0" borderId="28" xfId="0" applyBorder="1" applyAlignment="1">
      <alignment vertical="top" wrapText="1"/>
    </xf>
    <xf numFmtId="0" fontId="7" fillId="6" borderId="47" xfId="0" applyFont="1" applyFill="1" applyBorder="1" applyAlignment="1">
      <alignment vertical="top"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xf>
    <xf numFmtId="0" fontId="3" fillId="6" borderId="15" xfId="0" applyFont="1" applyFill="1" applyBorder="1" applyAlignment="1">
      <alignment horizontal="center" vertical="center" textRotation="90"/>
    </xf>
    <xf numFmtId="0" fontId="13" fillId="6" borderId="25" xfId="0" applyFont="1" applyFill="1" applyBorder="1" applyAlignment="1">
      <alignment horizontal="left" vertical="top" wrapText="1"/>
    </xf>
    <xf numFmtId="0" fontId="13" fillId="6" borderId="15" xfId="0" applyFont="1" applyFill="1" applyBorder="1" applyAlignment="1">
      <alignment horizontal="left" vertical="top" wrapText="1"/>
    </xf>
    <xf numFmtId="0" fontId="0" fillId="6" borderId="31" xfId="0" applyFill="1" applyBorder="1" applyAlignment="1">
      <alignment horizontal="left" vertical="top" wrapText="1"/>
    </xf>
    <xf numFmtId="0" fontId="0" fillId="0" borderId="15" xfId="0" applyBorder="1" applyAlignment="1">
      <alignment horizontal="center" vertical="center" textRotation="90" wrapText="1"/>
    </xf>
    <xf numFmtId="0" fontId="3" fillId="6" borderId="100" xfId="0" applyFont="1" applyFill="1" applyBorder="1" applyAlignment="1">
      <alignment horizontal="left" vertical="top" wrapText="1"/>
    </xf>
    <xf numFmtId="0" fontId="3" fillId="6" borderId="90" xfId="0" applyFont="1" applyFill="1" applyBorder="1" applyAlignment="1">
      <alignment horizontal="left" vertical="top" wrapText="1"/>
    </xf>
    <xf numFmtId="0" fontId="7" fillId="6" borderId="15" xfId="0" applyFont="1" applyFill="1" applyBorder="1" applyAlignment="1">
      <alignment horizontal="left" vertical="top" wrapText="1"/>
    </xf>
    <xf numFmtId="0" fontId="5" fillId="6" borderId="15"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7" xfId="0" applyFont="1" applyFill="1" applyBorder="1" applyAlignment="1">
      <alignment horizontal="left" vertical="top" wrapText="1"/>
    </xf>
    <xf numFmtId="3" fontId="3" fillId="0" borderId="38"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0" fontId="3" fillId="6" borderId="48" xfId="0" applyFont="1" applyFill="1" applyBorder="1" applyAlignment="1">
      <alignment horizontal="center" vertical="center" wrapText="1"/>
    </xf>
    <xf numFmtId="0" fontId="3" fillId="6" borderId="18" xfId="0" applyFont="1" applyFill="1" applyBorder="1" applyAlignment="1">
      <alignment horizontal="center" vertical="center" wrapText="1"/>
    </xf>
    <xf numFmtId="49" fontId="5" fillId="10" borderId="7"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3" fillId="6" borderId="31" xfId="0" applyFont="1" applyFill="1" applyBorder="1" applyAlignment="1">
      <alignment horizontal="left" vertical="top" wrapText="1"/>
    </xf>
    <xf numFmtId="0" fontId="17" fillId="6" borderId="64" xfId="0" applyFont="1" applyFill="1" applyBorder="1" applyAlignment="1">
      <alignment horizontal="center" vertical="center" textRotation="90" wrapText="1"/>
    </xf>
    <xf numFmtId="0" fontId="17" fillId="6" borderId="36" xfId="0" applyFont="1" applyFill="1" applyBorder="1" applyAlignment="1">
      <alignment horizontal="center" vertical="center" textRotation="90" wrapText="1"/>
    </xf>
    <xf numFmtId="49" fontId="5" fillId="6" borderId="2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56" xfId="0" applyNumberFormat="1" applyFont="1" applyFill="1" applyBorder="1" applyAlignment="1">
      <alignment horizontal="center" vertical="top"/>
    </xf>
    <xf numFmtId="49" fontId="5" fillId="6" borderId="23" xfId="0" applyNumberFormat="1" applyFont="1" applyFill="1" applyBorder="1" applyAlignment="1">
      <alignment horizontal="center" vertical="top"/>
    </xf>
    <xf numFmtId="0" fontId="3" fillId="6" borderId="25" xfId="0" applyFont="1" applyFill="1" applyBorder="1" applyAlignment="1">
      <alignment horizontal="left" vertical="top" wrapText="1"/>
    </xf>
    <xf numFmtId="0" fontId="7" fillId="6" borderId="23" xfId="0" applyFont="1" applyFill="1" applyBorder="1" applyAlignment="1">
      <alignment vertical="top"/>
    </xf>
    <xf numFmtId="0" fontId="3" fillId="0" borderId="64" xfId="0" applyFont="1" applyFill="1" applyBorder="1" applyAlignment="1">
      <alignment horizontal="center" vertical="center" textRotation="90" wrapText="1"/>
    </xf>
    <xf numFmtId="0" fontId="3" fillId="0" borderId="36" xfId="0" applyFont="1" applyFill="1" applyBorder="1" applyAlignment="1">
      <alignment horizontal="center" vertical="center" textRotation="90" wrapText="1"/>
    </xf>
    <xf numFmtId="0" fontId="3" fillId="0" borderId="66" xfId="0" applyFont="1" applyFill="1" applyBorder="1" applyAlignment="1">
      <alignment horizontal="center" vertical="center" textRotation="90" wrapText="1"/>
    </xf>
    <xf numFmtId="0" fontId="0" fillId="0" borderId="31" xfId="0" applyBorder="1" applyAlignment="1">
      <alignment horizontal="left" vertical="top" wrapText="1"/>
    </xf>
    <xf numFmtId="0" fontId="0" fillId="0" borderId="15" xfId="0" applyBorder="1" applyAlignment="1">
      <alignment horizontal="left" vertical="top" wrapText="1"/>
    </xf>
    <xf numFmtId="49" fontId="5" fillId="6" borderId="92" xfId="0" applyNumberFormat="1" applyFont="1" applyFill="1" applyBorder="1" applyAlignment="1">
      <alignment horizontal="center" vertical="center" textRotation="90" wrapText="1"/>
    </xf>
    <xf numFmtId="49" fontId="5" fillId="6" borderId="15" xfId="0" applyNumberFormat="1" applyFont="1" applyFill="1" applyBorder="1" applyAlignment="1">
      <alignment horizontal="center" vertical="center" textRotation="90" wrapText="1"/>
    </xf>
    <xf numFmtId="49" fontId="5" fillId="6" borderId="91" xfId="0" applyNumberFormat="1" applyFont="1" applyFill="1" applyBorder="1" applyAlignment="1">
      <alignment horizontal="center" vertical="center" textRotation="90" wrapText="1"/>
    </xf>
    <xf numFmtId="49" fontId="5" fillId="0" borderId="44" xfId="0" applyNumberFormat="1" applyFont="1" applyBorder="1" applyAlignment="1">
      <alignment horizontal="center" vertical="top"/>
    </xf>
    <xf numFmtId="49" fontId="5" fillId="0" borderId="47" xfId="0" applyNumberFormat="1" applyFont="1" applyBorder="1" applyAlignment="1">
      <alignment horizontal="center" vertical="top"/>
    </xf>
    <xf numFmtId="49" fontId="5" fillId="0" borderId="56" xfId="0" applyNumberFormat="1" applyFont="1" applyBorder="1" applyAlignment="1">
      <alignment horizontal="center" vertical="top"/>
    </xf>
    <xf numFmtId="0" fontId="2" fillId="6" borderId="19" xfId="0" applyFont="1" applyFill="1" applyBorder="1" applyAlignment="1">
      <alignment vertical="center" textRotation="90"/>
    </xf>
    <xf numFmtId="0" fontId="2" fillId="6" borderId="15" xfId="0" applyFont="1" applyFill="1" applyBorder="1" applyAlignment="1">
      <alignment vertical="center" textRotation="90"/>
    </xf>
    <xf numFmtId="0" fontId="2" fillId="6" borderId="31" xfId="0" applyFont="1" applyFill="1" applyBorder="1" applyAlignment="1">
      <alignment vertical="center" textRotation="90"/>
    </xf>
    <xf numFmtId="0" fontId="2" fillId="6" borderId="19" xfId="0" applyFont="1" applyFill="1" applyBorder="1" applyAlignment="1">
      <alignment horizontal="center" vertical="center" textRotation="90" wrapText="1"/>
    </xf>
    <xf numFmtId="0" fontId="2" fillId="6" borderId="15" xfId="0" applyFont="1" applyFill="1" applyBorder="1" applyAlignment="1">
      <alignment horizontal="center" vertical="center" textRotation="90" wrapText="1"/>
    </xf>
    <xf numFmtId="0" fontId="0" fillId="0" borderId="9" xfId="0" applyBorder="1" applyAlignment="1">
      <alignment horizontal="left" vertical="top" wrapText="1"/>
    </xf>
    <xf numFmtId="0" fontId="5" fillId="6" borderId="7" xfId="0" applyFont="1" applyFill="1" applyBorder="1" applyAlignment="1">
      <alignment vertical="top" wrapText="1"/>
    </xf>
    <xf numFmtId="0" fontId="5" fillId="6" borderId="9" xfId="0" applyFont="1" applyFill="1" applyBorder="1" applyAlignment="1">
      <alignment vertical="top" wrapText="1"/>
    </xf>
    <xf numFmtId="0" fontId="3" fillId="6" borderId="34" xfId="0" applyFont="1" applyFill="1" applyBorder="1" applyAlignment="1">
      <alignment horizontal="left" vertical="top" wrapText="1"/>
    </xf>
    <xf numFmtId="0" fontId="7" fillId="6" borderId="34" xfId="0" applyFont="1" applyFill="1" applyBorder="1" applyAlignment="1">
      <alignment horizontal="left" vertical="top" wrapText="1"/>
    </xf>
    <xf numFmtId="0" fontId="2" fillId="0" borderId="15" xfId="0" applyFont="1" applyFill="1" applyBorder="1" applyAlignment="1">
      <alignment horizontal="center" vertical="center" textRotation="90" wrapText="1"/>
    </xf>
    <xf numFmtId="0" fontId="3" fillId="6" borderId="9" xfId="1" applyFont="1" applyFill="1" applyBorder="1" applyAlignment="1">
      <alignment vertical="top" wrapText="1"/>
    </xf>
    <xf numFmtId="0" fontId="0" fillId="6" borderId="28" xfId="0" applyFill="1" applyBorder="1" applyAlignment="1">
      <alignment vertical="top" wrapText="1"/>
    </xf>
    <xf numFmtId="0" fontId="2" fillId="0" borderId="19" xfId="0" applyFont="1" applyFill="1" applyBorder="1" applyAlignment="1">
      <alignment horizontal="center" vertical="center" textRotation="90" wrapText="1"/>
    </xf>
    <xf numFmtId="0" fontId="7" fillId="6" borderId="9" xfId="0" applyFont="1" applyFill="1" applyBorder="1" applyAlignment="1">
      <alignment vertical="top" wrapText="1"/>
    </xf>
    <xf numFmtId="0" fontId="2" fillId="0" borderId="31" xfId="0" applyFont="1" applyFill="1" applyBorder="1" applyAlignment="1">
      <alignment horizontal="center" vertical="center" textRotation="90" wrapText="1"/>
    </xf>
    <xf numFmtId="0" fontId="14" fillId="6" borderId="45" xfId="0" applyFont="1" applyFill="1" applyBorder="1" applyAlignment="1">
      <alignment horizontal="left" vertical="top" wrapText="1"/>
    </xf>
    <xf numFmtId="0" fontId="7" fillId="6" borderId="47" xfId="0" applyFont="1" applyFill="1" applyBorder="1" applyAlignment="1">
      <alignment horizontal="left" vertical="top" wrapText="1"/>
    </xf>
    <xf numFmtId="0" fontId="7" fillId="6" borderId="29" xfId="0" applyFont="1" applyFill="1" applyBorder="1" applyAlignment="1"/>
    <xf numFmtId="0" fontId="14" fillId="6" borderId="19" xfId="0" applyFont="1" applyFill="1" applyBorder="1" applyAlignment="1">
      <alignment horizontal="left" vertical="top" wrapText="1"/>
    </xf>
    <xf numFmtId="0" fontId="5" fillId="9" borderId="70" xfId="0" applyFont="1" applyFill="1" applyBorder="1" applyAlignment="1">
      <alignment vertical="center"/>
    </xf>
    <xf numFmtId="0" fontId="5" fillId="9" borderId="60" xfId="0" applyFont="1" applyFill="1" applyBorder="1" applyAlignment="1">
      <alignment vertical="center"/>
    </xf>
    <xf numFmtId="0" fontId="5" fillId="9" borderId="61" xfId="0" applyFont="1" applyFill="1" applyBorder="1" applyAlignment="1">
      <alignment vertical="center"/>
    </xf>
    <xf numFmtId="0" fontId="3" fillId="6" borderId="15" xfId="0" applyFont="1" applyFill="1" applyBorder="1" applyAlignment="1">
      <alignment vertical="top" wrapText="1"/>
    </xf>
    <xf numFmtId="0" fontId="3" fillId="6" borderId="31" xfId="0" applyFont="1" applyFill="1" applyBorder="1" applyAlignment="1">
      <alignment vertical="top" wrapText="1"/>
    </xf>
    <xf numFmtId="0" fontId="3" fillId="6" borderId="42" xfId="0" applyFont="1" applyFill="1" applyBorder="1" applyAlignment="1">
      <alignment vertical="top" wrapText="1"/>
    </xf>
    <xf numFmtId="0" fontId="0" fillId="0" borderId="9" xfId="0" applyBorder="1" applyAlignment="1">
      <alignment vertical="top" wrapText="1"/>
    </xf>
    <xf numFmtId="49" fontId="5" fillId="3" borderId="70" xfId="0" applyNumberFormat="1" applyFont="1" applyFill="1" applyBorder="1" applyAlignment="1">
      <alignment horizontal="right" vertical="top"/>
    </xf>
    <xf numFmtId="49" fontId="5" fillId="3" borderId="60" xfId="0" applyNumberFormat="1" applyFont="1" applyFill="1" applyBorder="1" applyAlignment="1">
      <alignment horizontal="right" vertical="top"/>
    </xf>
    <xf numFmtId="49" fontId="5" fillId="3" borderId="61" xfId="0" applyNumberFormat="1" applyFont="1" applyFill="1" applyBorder="1" applyAlignment="1">
      <alignment horizontal="right" vertical="top"/>
    </xf>
    <xf numFmtId="49" fontId="5" fillId="6" borderId="15" xfId="0" applyNumberFormat="1" applyFont="1" applyFill="1" applyBorder="1" applyAlignment="1">
      <alignment horizontal="center" vertical="top" wrapText="1"/>
    </xf>
    <xf numFmtId="0" fontId="3" fillId="6" borderId="19" xfId="0" applyFont="1" applyFill="1" applyBorder="1" applyAlignment="1">
      <alignment vertical="top" wrapText="1"/>
    </xf>
    <xf numFmtId="0" fontId="5" fillId="6" borderId="15" xfId="0" applyFont="1" applyFill="1" applyBorder="1" applyAlignment="1">
      <alignment horizontal="center" vertical="top" wrapText="1"/>
    </xf>
    <xf numFmtId="0" fontId="7" fillId="9" borderId="60" xfId="0" applyFont="1" applyFill="1" applyBorder="1" applyAlignment="1">
      <alignment horizontal="left" vertical="top" wrapText="1"/>
    </xf>
    <xf numFmtId="0" fontId="0" fillId="0" borderId="60" xfId="0" applyFont="1" applyBorder="1" applyAlignment="1">
      <alignment horizontal="left" vertical="top" wrapText="1"/>
    </xf>
    <xf numFmtId="0" fontId="0" fillId="0" borderId="60" xfId="0" applyBorder="1" applyAlignment="1">
      <alignment horizontal="left" vertical="top" wrapText="1"/>
    </xf>
    <xf numFmtId="0" fontId="3" fillId="6" borderId="92" xfId="0" applyFont="1" applyFill="1" applyBorder="1" applyAlignment="1">
      <alignment vertical="top" wrapText="1"/>
    </xf>
    <xf numFmtId="0" fontId="0" fillId="6" borderId="91" xfId="0" applyFill="1" applyBorder="1" applyAlignment="1">
      <alignment vertical="top" wrapText="1"/>
    </xf>
    <xf numFmtId="0" fontId="3" fillId="6" borderId="88" xfId="0" applyFont="1" applyFill="1" applyBorder="1" applyAlignment="1">
      <alignment vertical="top" wrapText="1"/>
    </xf>
    <xf numFmtId="0" fontId="7" fillId="6" borderId="89" xfId="0" applyFont="1" applyFill="1" applyBorder="1" applyAlignment="1">
      <alignment vertical="top" wrapText="1"/>
    </xf>
    <xf numFmtId="3" fontId="4" fillId="6" borderId="0" xfId="0" applyNumberFormat="1" applyFont="1" applyFill="1" applyAlignment="1">
      <alignment horizontal="left" vertical="top" wrapText="1"/>
    </xf>
    <xf numFmtId="0" fontId="32" fillId="6" borderId="0" xfId="0" applyFont="1" applyFill="1" applyAlignment="1">
      <alignment vertical="top"/>
    </xf>
    <xf numFmtId="0" fontId="3" fillId="8" borderId="67" xfId="0" applyFont="1" applyFill="1" applyBorder="1" applyAlignment="1">
      <alignment horizontal="left" vertical="top" wrapText="1"/>
    </xf>
    <xf numFmtId="0" fontId="3" fillId="8" borderId="40" xfId="0" applyFont="1" applyFill="1" applyBorder="1" applyAlignment="1">
      <alignment horizontal="left" vertical="top" wrapText="1"/>
    </xf>
    <xf numFmtId="0" fontId="3" fillId="8" borderId="41" xfId="0" applyFont="1" applyFill="1" applyBorder="1" applyAlignment="1">
      <alignment horizontal="left" vertical="top" wrapText="1"/>
    </xf>
    <xf numFmtId="0" fontId="5" fillId="4" borderId="67" xfId="0" applyFont="1" applyFill="1" applyBorder="1" applyAlignment="1">
      <alignment horizontal="right" vertical="top" wrapText="1"/>
    </xf>
    <xf numFmtId="0" fontId="5" fillId="4" borderId="40" xfId="0" applyFont="1" applyFill="1" applyBorder="1" applyAlignment="1">
      <alignment horizontal="right" vertical="top" wrapText="1"/>
    </xf>
    <xf numFmtId="0" fontId="5" fillId="4" borderId="41" xfId="0" applyFont="1" applyFill="1" applyBorder="1" applyAlignment="1">
      <alignment horizontal="right" vertical="top" wrapText="1"/>
    </xf>
    <xf numFmtId="165" fontId="3" fillId="2" borderId="67" xfId="0" applyNumberFormat="1" applyFont="1" applyFill="1" applyBorder="1" applyAlignment="1">
      <alignment horizontal="left" vertical="top" wrapText="1"/>
    </xf>
    <xf numFmtId="165" fontId="3" fillId="2" borderId="40"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0" fontId="3" fillId="0" borderId="67" xfId="0" applyFont="1" applyBorder="1" applyAlignment="1">
      <alignment horizontal="left" vertical="top" wrapText="1"/>
    </xf>
    <xf numFmtId="0" fontId="3" fillId="0" borderId="40" xfId="0" applyFont="1" applyBorder="1" applyAlignment="1">
      <alignment horizontal="left" vertical="top" wrapText="1"/>
    </xf>
    <xf numFmtId="0" fontId="3" fillId="0" borderId="41" xfId="0" applyFont="1" applyBorder="1" applyAlignment="1">
      <alignment horizontal="left" vertical="top" wrapText="1"/>
    </xf>
    <xf numFmtId="0" fontId="3" fillId="6" borderId="67" xfId="0" applyFont="1" applyFill="1" applyBorder="1" applyAlignment="1">
      <alignment horizontal="left" vertical="top" wrapText="1"/>
    </xf>
    <xf numFmtId="0" fontId="3" fillId="6" borderId="40"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2" borderId="62" xfId="0" applyFont="1" applyFill="1" applyBorder="1" applyAlignment="1">
      <alignment horizontal="left" vertical="top" wrapText="1"/>
    </xf>
    <xf numFmtId="0" fontId="3" fillId="2" borderId="46" xfId="0" applyFont="1" applyFill="1" applyBorder="1" applyAlignment="1">
      <alignment horizontal="left" vertical="top" wrapText="1"/>
    </xf>
    <xf numFmtId="0" fontId="3" fillId="2" borderId="52" xfId="0"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3" fontId="5" fillId="0" borderId="57" xfId="0" applyNumberFormat="1" applyFont="1" applyBorder="1" applyAlignment="1">
      <alignment horizontal="center" vertical="center" wrapText="1"/>
    </xf>
    <xf numFmtId="3" fontId="5" fillId="0" borderId="60"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0" fontId="5" fillId="4" borderId="69" xfId="0" applyFont="1" applyFill="1" applyBorder="1" applyAlignment="1">
      <alignment horizontal="right" vertical="top" wrapText="1"/>
    </xf>
    <xf numFmtId="0" fontId="5" fillId="4" borderId="63" xfId="0" applyFont="1" applyFill="1" applyBorder="1" applyAlignment="1">
      <alignment horizontal="right" vertical="top" wrapText="1"/>
    </xf>
    <xf numFmtId="0" fontId="5" fillId="4" borderId="58" xfId="0" applyFont="1" applyFill="1" applyBorder="1" applyAlignment="1">
      <alignment horizontal="right" vertical="top" wrapText="1"/>
    </xf>
    <xf numFmtId="0" fontId="5" fillId="8" borderId="67" xfId="0" applyFont="1" applyFill="1" applyBorder="1" applyAlignment="1">
      <alignment horizontal="right" vertical="top" wrapText="1"/>
    </xf>
    <xf numFmtId="0" fontId="7" fillId="8" borderId="40" xfId="0" applyFont="1" applyFill="1" applyBorder="1" applyAlignment="1">
      <alignment horizontal="right" vertical="top" wrapText="1"/>
    </xf>
    <xf numFmtId="0" fontId="7" fillId="8" borderId="41" xfId="0" applyFont="1" applyFill="1" applyBorder="1" applyAlignment="1">
      <alignment horizontal="right" vertical="top" wrapText="1"/>
    </xf>
    <xf numFmtId="0" fontId="3" fillId="6" borderId="62" xfId="0" applyFont="1" applyFill="1" applyBorder="1" applyAlignment="1">
      <alignment horizontal="left" vertical="top" wrapText="1"/>
    </xf>
    <xf numFmtId="0" fontId="3" fillId="6" borderId="46" xfId="0" applyFont="1" applyFill="1" applyBorder="1" applyAlignment="1">
      <alignment horizontal="left" vertical="top" wrapText="1"/>
    </xf>
    <xf numFmtId="0" fontId="3" fillId="6" borderId="52" xfId="0" applyFont="1" applyFill="1" applyBorder="1" applyAlignment="1">
      <alignment horizontal="left" vertical="top" wrapText="1"/>
    </xf>
    <xf numFmtId="49" fontId="5" fillId="3" borderId="56" xfId="0" applyNumberFormat="1" applyFont="1" applyFill="1" applyBorder="1" applyAlignment="1">
      <alignment horizontal="right" vertical="top"/>
    </xf>
    <xf numFmtId="49" fontId="5" fillId="3" borderId="27" xfId="0" applyNumberFormat="1" applyFont="1" applyFill="1" applyBorder="1" applyAlignment="1">
      <alignment horizontal="right" vertical="top"/>
    </xf>
    <xf numFmtId="49" fontId="5" fillId="10" borderId="70" xfId="0" applyNumberFormat="1" applyFont="1" applyFill="1" applyBorder="1" applyAlignment="1">
      <alignment horizontal="right" vertical="top"/>
    </xf>
    <xf numFmtId="49" fontId="5" fillId="10" borderId="60" xfId="0" applyNumberFormat="1" applyFont="1" applyFill="1" applyBorder="1" applyAlignment="1">
      <alignment horizontal="right" vertical="top"/>
    </xf>
    <xf numFmtId="0" fontId="3" fillId="10" borderId="60" xfId="0" applyFont="1" applyFill="1" applyBorder="1" applyAlignment="1">
      <alignment horizontal="center" vertical="top" wrapText="1"/>
    </xf>
    <xf numFmtId="0" fontId="0" fillId="0" borderId="60" xfId="0" applyBorder="1" applyAlignment="1">
      <alignment horizontal="center" vertical="top" wrapText="1"/>
    </xf>
    <xf numFmtId="0" fontId="0" fillId="0" borderId="61" xfId="0" applyBorder="1" applyAlignment="1">
      <alignment horizontal="center" vertical="top" wrapText="1"/>
    </xf>
    <xf numFmtId="49" fontId="5" fillId="4" borderId="70" xfId="0" applyNumberFormat="1" applyFont="1" applyFill="1" applyBorder="1" applyAlignment="1">
      <alignment horizontal="right" vertical="top"/>
    </xf>
    <xf numFmtId="49" fontId="5" fillId="4" borderId="60" xfId="0" applyNumberFormat="1" applyFont="1" applyFill="1" applyBorder="1" applyAlignment="1">
      <alignment horizontal="right" vertical="top"/>
    </xf>
    <xf numFmtId="0" fontId="2" fillId="0" borderId="15" xfId="0" applyFont="1" applyBorder="1" applyAlignment="1">
      <alignment horizontal="center" vertical="center" textRotation="90" wrapText="1"/>
    </xf>
    <xf numFmtId="0" fontId="5" fillId="5" borderId="32" xfId="0" applyFont="1" applyFill="1" applyBorder="1" applyAlignment="1">
      <alignment horizontal="right" vertical="top" wrapText="1"/>
    </xf>
    <xf numFmtId="0" fontId="5" fillId="5" borderId="27" xfId="0" applyFont="1" applyFill="1" applyBorder="1" applyAlignment="1">
      <alignment horizontal="right" vertical="top" wrapText="1"/>
    </xf>
    <xf numFmtId="0" fontId="5" fillId="5" borderId="33" xfId="0" applyFont="1" applyFill="1" applyBorder="1" applyAlignment="1">
      <alignment horizontal="right" vertical="top" wrapText="1"/>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7" xfId="0" applyFont="1" applyBorder="1" applyAlignment="1">
      <alignment horizontal="right" vertical="top"/>
    </xf>
    <xf numFmtId="0" fontId="0" fillId="0" borderId="27" xfId="0" applyFont="1" applyBorder="1" applyAlignment="1">
      <alignment vertical="top"/>
    </xf>
    <xf numFmtId="0" fontId="3" fillId="4" borderId="60" xfId="0" applyFont="1" applyFill="1" applyBorder="1" applyAlignment="1">
      <alignment horizontal="center" vertical="top"/>
    </xf>
    <xf numFmtId="0" fontId="3" fillId="4" borderId="61" xfId="0" applyFont="1" applyFill="1" applyBorder="1" applyAlignment="1">
      <alignment horizontal="center" vertical="top"/>
    </xf>
    <xf numFmtId="3" fontId="5" fillId="6" borderId="3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7" fillId="6" borderId="23" xfId="0" applyFont="1" applyFill="1" applyBorder="1" applyAlignment="1">
      <alignment vertical="top" wrapText="1"/>
    </xf>
    <xf numFmtId="0" fontId="7" fillId="6" borderId="15" xfId="0" applyFont="1" applyFill="1" applyBorder="1" applyAlignment="1">
      <alignment vertical="top" wrapText="1"/>
    </xf>
    <xf numFmtId="49" fontId="15" fillId="10" borderId="69" xfId="0" applyNumberFormat="1" applyFont="1" applyFill="1" applyBorder="1" applyAlignment="1">
      <alignment horizontal="center" vertical="top"/>
    </xf>
    <xf numFmtId="49" fontId="15" fillId="10" borderId="37" xfId="0" applyNumberFormat="1" applyFont="1" applyFill="1" applyBorder="1" applyAlignment="1">
      <alignment horizontal="center" vertical="top"/>
    </xf>
    <xf numFmtId="49" fontId="15" fillId="9" borderId="12" xfId="0" applyNumberFormat="1" applyFont="1" applyFill="1" applyBorder="1" applyAlignment="1">
      <alignment horizontal="center" vertical="top"/>
    </xf>
    <xf numFmtId="49" fontId="15" fillId="9" borderId="15" xfId="0" applyNumberFormat="1" applyFont="1" applyFill="1" applyBorder="1" applyAlignment="1">
      <alignment horizontal="center" vertical="top"/>
    </xf>
    <xf numFmtId="49" fontId="15" fillId="6" borderId="63"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2" xfId="0" applyNumberFormat="1" applyFont="1" applyFill="1" applyBorder="1" applyAlignment="1">
      <alignment horizontal="left" vertical="top" wrapText="1"/>
    </xf>
    <xf numFmtId="3" fontId="3" fillId="6" borderId="15" xfId="0" applyNumberFormat="1" applyFont="1" applyFill="1" applyBorder="1" applyAlignment="1">
      <alignment horizontal="left" vertical="top" wrapText="1"/>
    </xf>
    <xf numFmtId="0" fontId="5" fillId="6" borderId="19" xfId="0" applyFont="1" applyFill="1" applyBorder="1" applyAlignment="1">
      <alignment horizontal="center" vertical="top" wrapText="1"/>
    </xf>
    <xf numFmtId="0" fontId="5" fillId="6" borderId="31" xfId="0" applyFont="1" applyFill="1" applyBorder="1" applyAlignment="1">
      <alignment horizontal="center" vertical="top" wrapText="1"/>
    </xf>
    <xf numFmtId="0" fontId="3" fillId="6" borderId="37" xfId="0" applyFont="1" applyFill="1" applyBorder="1" applyAlignment="1">
      <alignment vertical="top" wrapText="1"/>
    </xf>
    <xf numFmtId="0" fontId="3" fillId="6" borderId="90" xfId="0" applyFont="1" applyFill="1" applyBorder="1" applyAlignment="1">
      <alignment vertical="top" wrapText="1"/>
    </xf>
    <xf numFmtId="0" fontId="3" fillId="12" borderId="17" xfId="0" applyFont="1" applyFill="1" applyBorder="1" applyAlignment="1">
      <alignment horizontal="left" vertical="top" wrapText="1"/>
    </xf>
    <xf numFmtId="0" fontId="3" fillId="0" borderId="17" xfId="0" applyFont="1" applyBorder="1" applyAlignment="1">
      <alignment horizontal="left" vertical="top" wrapText="1"/>
    </xf>
    <xf numFmtId="0" fontId="3" fillId="0" borderId="24" xfId="0" applyFont="1" applyBorder="1" applyAlignment="1">
      <alignment horizontal="left" vertical="top" wrapText="1"/>
    </xf>
    <xf numFmtId="3" fontId="3" fillId="6" borderId="17" xfId="0" applyNumberFormat="1" applyFont="1" applyFill="1" applyBorder="1" applyAlignment="1">
      <alignment horizontal="left" vertical="top" wrapText="1"/>
    </xf>
    <xf numFmtId="0" fontId="7" fillId="6" borderId="17" xfId="0" applyFont="1" applyFill="1" applyBorder="1" applyAlignment="1">
      <alignment horizontal="left" vertical="top" wrapText="1"/>
    </xf>
    <xf numFmtId="3" fontId="3" fillId="6" borderId="1" xfId="0" applyNumberFormat="1" applyFont="1" applyFill="1" applyBorder="1" applyAlignment="1">
      <alignment horizontal="left" vertical="top" wrapText="1"/>
    </xf>
    <xf numFmtId="0" fontId="0" fillId="6" borderId="17" xfId="0" applyFill="1" applyBorder="1" applyAlignment="1">
      <alignment horizontal="left" vertical="top" wrapText="1"/>
    </xf>
    <xf numFmtId="0" fontId="0" fillId="6" borderId="30" xfId="0" applyFill="1" applyBorder="1" applyAlignment="1">
      <alignment horizontal="left" vertical="top" wrapText="1"/>
    </xf>
    <xf numFmtId="0" fontId="0" fillId="0" borderId="30" xfId="0" applyBorder="1" applyAlignment="1">
      <alignment horizontal="left" vertical="top" wrapText="1"/>
    </xf>
    <xf numFmtId="3" fontId="3" fillId="6" borderId="93" xfId="1" applyNumberFormat="1" applyFont="1" applyFill="1" applyBorder="1" applyAlignment="1">
      <alignment horizontal="left" vertical="top" wrapText="1"/>
    </xf>
    <xf numFmtId="0" fontId="0" fillId="0" borderId="72" xfId="0" applyBorder="1" applyAlignment="1">
      <alignment horizontal="left" vertical="top" wrapText="1"/>
    </xf>
    <xf numFmtId="0" fontId="0" fillId="0" borderId="17" xfId="0" applyBorder="1" applyAlignment="1">
      <alignment horizontal="left" vertical="top" wrapText="1"/>
    </xf>
    <xf numFmtId="0" fontId="0" fillId="0" borderId="72" xfId="0" applyBorder="1" applyAlignment="1">
      <alignment horizontal="left" vertical="top"/>
    </xf>
    <xf numFmtId="0" fontId="0" fillId="0" borderId="17" xfId="0" applyBorder="1" applyAlignment="1">
      <alignment vertical="top" wrapText="1"/>
    </xf>
    <xf numFmtId="0" fontId="3" fillId="0" borderId="1"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6" borderId="28" xfId="1" applyFont="1" applyFill="1" applyBorder="1" applyAlignment="1">
      <alignment vertical="top" wrapText="1"/>
    </xf>
    <xf numFmtId="3" fontId="3" fillId="6" borderId="30" xfId="0" applyNumberFormat="1" applyFont="1" applyFill="1" applyBorder="1" applyAlignment="1">
      <alignment horizontal="left" vertical="top" wrapText="1"/>
    </xf>
    <xf numFmtId="0" fontId="0" fillId="6" borderId="30" xfId="0" applyFill="1" applyBorder="1" applyAlignment="1">
      <alignment vertical="top" wrapText="1"/>
    </xf>
    <xf numFmtId="3" fontId="3" fillId="0" borderId="44"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wrapText="1"/>
    </xf>
    <xf numFmtId="3" fontId="3" fillId="6" borderId="26" xfId="0" applyNumberFormat="1" applyFont="1" applyFill="1" applyBorder="1" applyAlignment="1">
      <alignment horizontal="left" vertical="top" wrapText="1"/>
    </xf>
    <xf numFmtId="0" fontId="7" fillId="6" borderId="24" xfId="0" applyFont="1" applyFill="1" applyBorder="1" applyAlignment="1">
      <alignment horizontal="left" vertical="top" wrapText="1"/>
    </xf>
    <xf numFmtId="0" fontId="5" fillId="0" borderId="51" xfId="0" applyFont="1" applyBorder="1" applyAlignment="1">
      <alignment horizontal="center" vertical="center" textRotation="90" shrinkToFit="1"/>
    </xf>
    <xf numFmtId="0" fontId="5" fillId="0" borderId="50" xfId="0" applyFont="1" applyBorder="1" applyAlignment="1">
      <alignment horizontal="center" vertical="center" textRotation="90" shrinkToFit="1"/>
    </xf>
    <xf numFmtId="0" fontId="5" fillId="0" borderId="33" xfId="0" applyFont="1" applyBorder="1" applyAlignment="1">
      <alignment horizontal="center" vertical="center" textRotation="90" shrinkToFit="1"/>
    </xf>
    <xf numFmtId="3" fontId="3" fillId="0" borderId="25" xfId="0" applyNumberFormat="1" applyFont="1" applyBorder="1" applyAlignment="1">
      <alignment horizontal="center" vertical="center" shrinkToFit="1"/>
    </xf>
    <xf numFmtId="3" fontId="3" fillId="0" borderId="15" xfId="0" applyNumberFormat="1" applyFont="1" applyBorder="1" applyAlignment="1">
      <alignment horizontal="center" vertical="center" shrinkToFit="1"/>
    </xf>
    <xf numFmtId="3" fontId="3" fillId="0" borderId="23" xfId="0" applyNumberFormat="1" applyFont="1" applyBorder="1" applyAlignment="1">
      <alignment horizontal="center" vertical="center" shrinkToFit="1"/>
    </xf>
    <xf numFmtId="3" fontId="3" fillId="0" borderId="26" xfId="0" applyNumberFormat="1" applyFont="1" applyBorder="1" applyAlignment="1">
      <alignment horizontal="center" vertical="center" textRotation="90" wrapText="1"/>
    </xf>
    <xf numFmtId="3" fontId="3" fillId="0" borderId="17" xfId="0" applyNumberFormat="1" applyFont="1" applyBorder="1" applyAlignment="1">
      <alignment horizontal="center" vertical="center" textRotation="90" wrapText="1"/>
    </xf>
    <xf numFmtId="3" fontId="3" fillId="0" borderId="24" xfId="0" applyNumberFormat="1" applyFont="1" applyBorder="1" applyAlignment="1">
      <alignment horizontal="center" vertical="center" textRotation="90" wrapText="1"/>
    </xf>
    <xf numFmtId="0" fontId="3" fillId="6" borderId="25" xfId="0" applyFont="1" applyFill="1" applyBorder="1" applyAlignment="1">
      <alignment horizontal="center" vertical="center" textRotation="90" wrapText="1" shrinkToFit="1"/>
    </xf>
    <xf numFmtId="0" fontId="3" fillId="6" borderId="15" xfId="0" applyFont="1" applyFill="1" applyBorder="1" applyAlignment="1">
      <alignment horizontal="center" vertical="center" textRotation="90" wrapText="1" shrinkToFit="1"/>
    </xf>
    <xf numFmtId="0" fontId="3" fillId="6" borderId="23" xfId="0" applyFont="1" applyFill="1" applyBorder="1" applyAlignment="1">
      <alignment horizontal="center" vertical="center" textRotation="90" wrapText="1" shrinkToFit="1"/>
    </xf>
    <xf numFmtId="165" fontId="3" fillId="0" borderId="68" xfId="0" applyNumberFormat="1" applyFont="1" applyBorder="1" applyAlignment="1">
      <alignment horizontal="center" vertical="center" textRotation="90" wrapText="1"/>
    </xf>
    <xf numFmtId="0" fontId="7" fillId="0" borderId="37" xfId="0" applyFont="1" applyBorder="1" applyAlignment="1">
      <alignment horizontal="center" vertical="center" textRotation="90" wrapText="1"/>
    </xf>
    <xf numFmtId="0" fontId="7" fillId="0" borderId="32" xfId="0" applyFont="1" applyBorder="1" applyAlignment="1">
      <alignment horizontal="center" vertical="center" textRotation="90" wrapText="1"/>
    </xf>
    <xf numFmtId="0" fontId="0" fillId="0" borderId="91" xfId="0" applyBorder="1" applyAlignment="1">
      <alignment horizontal="left" vertical="top" wrapText="1"/>
    </xf>
    <xf numFmtId="0" fontId="3" fillId="6" borderId="9" xfId="0" applyFont="1" applyFill="1" applyBorder="1" applyAlignment="1">
      <alignment vertical="top" wrapText="1"/>
    </xf>
    <xf numFmtId="0" fontId="14" fillId="6" borderId="15" xfId="0" applyFont="1" applyFill="1" applyBorder="1" applyAlignment="1">
      <alignment horizontal="left" vertical="top" wrapText="1"/>
    </xf>
    <xf numFmtId="0" fontId="3" fillId="0" borderId="26" xfId="0" applyNumberFormat="1" applyFont="1" applyFill="1" applyBorder="1" applyAlignment="1">
      <alignment horizontal="left" vertical="top" wrapText="1"/>
    </xf>
    <xf numFmtId="0" fontId="0" fillId="0" borderId="17" xfId="0" applyFill="1" applyBorder="1" applyAlignment="1">
      <alignment horizontal="left" vertical="top" wrapText="1"/>
    </xf>
    <xf numFmtId="0" fontId="0" fillId="0" borderId="24" xfId="0" applyFill="1" applyBorder="1" applyAlignment="1">
      <alignment horizontal="left" vertical="top" wrapText="1"/>
    </xf>
    <xf numFmtId="49" fontId="3" fillId="6" borderId="17" xfId="0" applyNumberFormat="1" applyFont="1" applyFill="1" applyBorder="1" applyAlignment="1">
      <alignment horizontal="left" vertical="top" wrapText="1"/>
    </xf>
    <xf numFmtId="0" fontId="7" fillId="0" borderId="31" xfId="0" applyFont="1" applyBorder="1" applyAlignment="1">
      <alignment horizontal="center" vertical="center" textRotation="90" wrapText="1"/>
    </xf>
    <xf numFmtId="0" fontId="3" fillId="6" borderId="8" xfId="0" applyFont="1" applyFill="1" applyBorder="1" applyAlignment="1">
      <alignment horizontal="center" vertical="top" wrapText="1"/>
    </xf>
    <xf numFmtId="0" fontId="7" fillId="0" borderId="15" xfId="0" applyFont="1" applyBorder="1" applyAlignment="1">
      <alignment horizontal="left" vertical="top" wrapText="1"/>
    </xf>
    <xf numFmtId="49" fontId="3" fillId="6" borderId="5" xfId="0" applyNumberFormat="1" applyFont="1" applyFill="1" applyBorder="1" applyAlignment="1">
      <alignment horizontal="center" vertical="top" wrapText="1"/>
    </xf>
    <xf numFmtId="0" fontId="7" fillId="0" borderId="21" xfId="0" applyFont="1" applyBorder="1" applyAlignment="1">
      <alignment horizontal="center" vertical="top" wrapText="1"/>
    </xf>
    <xf numFmtId="49" fontId="3" fillId="6" borderId="21" xfId="0" applyNumberFormat="1" applyFont="1" applyFill="1" applyBorder="1" applyAlignment="1">
      <alignment horizontal="center" vertical="center" wrapText="1"/>
    </xf>
    <xf numFmtId="0" fontId="7" fillId="6" borderId="20"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3" fillId="6" borderId="37" xfId="0" applyFont="1" applyFill="1" applyBorder="1" applyAlignment="1">
      <alignment horizontal="left" vertical="top" wrapText="1"/>
    </xf>
    <xf numFmtId="49" fontId="3" fillId="6" borderId="8" xfId="0" applyNumberFormat="1" applyFont="1" applyFill="1" applyBorder="1" applyAlignment="1">
      <alignment horizontal="center" vertical="top" wrapText="1"/>
    </xf>
    <xf numFmtId="0" fontId="7" fillId="6" borderId="8" xfId="0" applyFont="1" applyFill="1" applyBorder="1" applyAlignment="1">
      <alignment horizontal="center" vertical="top" wrapText="1"/>
    </xf>
    <xf numFmtId="49" fontId="3" fillId="0" borderId="43"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0" fontId="7" fillId="0" borderId="59" xfId="0" applyFont="1" applyBorder="1" applyAlignment="1">
      <alignment vertical="top"/>
    </xf>
    <xf numFmtId="0" fontId="7" fillId="0" borderId="9" xfId="0" applyFont="1" applyBorder="1" applyAlignment="1">
      <alignment horizontal="left" vertical="top" wrapText="1"/>
    </xf>
    <xf numFmtId="0" fontId="7" fillId="0" borderId="8" xfId="0" applyFont="1" applyBorder="1" applyAlignment="1">
      <alignment horizontal="center" vertical="top" wrapText="1"/>
    </xf>
    <xf numFmtId="49" fontId="5" fillId="0" borderId="38"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7" xfId="0" applyNumberFormat="1" applyFont="1" applyBorder="1" applyAlignment="1">
      <alignment horizontal="center" vertical="top"/>
    </xf>
    <xf numFmtId="49" fontId="5" fillId="6" borderId="1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19" xfId="0" applyNumberFormat="1" applyFont="1" applyFill="1" applyBorder="1" applyAlignment="1">
      <alignment horizontal="center" vertical="center" textRotation="90" wrapText="1"/>
    </xf>
    <xf numFmtId="0" fontId="7" fillId="0" borderId="15" xfId="0" applyFont="1" applyBorder="1" applyAlignment="1">
      <alignment horizontal="center" vertical="center" textRotation="90" wrapText="1"/>
    </xf>
    <xf numFmtId="49" fontId="5" fillId="6" borderId="31" xfId="0" applyNumberFormat="1" applyFont="1" applyFill="1" applyBorder="1" applyAlignment="1">
      <alignment horizontal="center" vertical="center" textRotation="90" wrapText="1"/>
    </xf>
    <xf numFmtId="0" fontId="7" fillId="0" borderId="31" xfId="0" applyFont="1" applyBorder="1" applyAlignment="1">
      <alignment horizontal="left" vertical="top" wrapText="1"/>
    </xf>
    <xf numFmtId="49" fontId="5" fillId="8" borderId="15"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49" fontId="5" fillId="6" borderId="31" xfId="0" applyNumberFormat="1" applyFont="1" applyFill="1" applyBorder="1" applyAlignment="1">
      <alignment horizontal="center" vertical="top" wrapText="1"/>
    </xf>
    <xf numFmtId="49" fontId="5" fillId="8" borderId="15" xfId="0" applyNumberFormat="1" applyFont="1" applyFill="1" applyBorder="1" applyAlignment="1">
      <alignment horizontal="center" vertical="top" wrapText="1"/>
    </xf>
    <xf numFmtId="49" fontId="5" fillId="0" borderId="19" xfId="0" applyNumberFormat="1" applyFont="1" applyBorder="1" applyAlignment="1">
      <alignment horizontal="center" vertical="top" wrapText="1"/>
    </xf>
    <xf numFmtId="49" fontId="5" fillId="0" borderId="15" xfId="0" applyNumberFormat="1" applyFont="1" applyBorder="1" applyAlignment="1">
      <alignment horizontal="center" vertical="top" wrapText="1"/>
    </xf>
    <xf numFmtId="49" fontId="5" fillId="0" borderId="31" xfId="0" applyNumberFormat="1" applyFont="1" applyBorder="1" applyAlignment="1">
      <alignment horizontal="center" vertical="top" wrapText="1"/>
    </xf>
    <xf numFmtId="0" fontId="3" fillId="2" borderId="19" xfId="0" applyFont="1" applyFill="1" applyBorder="1" applyAlignment="1">
      <alignment vertical="top" wrapText="1"/>
    </xf>
    <xf numFmtId="0" fontId="3" fillId="2" borderId="15" xfId="0" applyFont="1" applyFill="1" applyBorder="1" applyAlignment="1">
      <alignment vertical="top" wrapText="1"/>
    </xf>
    <xf numFmtId="0" fontId="3" fillId="2" borderId="31" xfId="0" applyFont="1" applyFill="1" applyBorder="1" applyAlignment="1">
      <alignment vertical="top" wrapText="1"/>
    </xf>
    <xf numFmtId="49" fontId="3" fillId="6" borderId="43" xfId="0" applyNumberFormat="1" applyFont="1" applyFill="1" applyBorder="1" applyAlignment="1">
      <alignment horizontal="center" vertical="top" wrapText="1"/>
    </xf>
    <xf numFmtId="0" fontId="3" fillId="0" borderId="0" xfId="0" applyFont="1" applyAlignment="1">
      <alignment horizontal="right" wrapText="1"/>
    </xf>
    <xf numFmtId="0" fontId="7" fillId="0" borderId="0" xfId="0" applyFont="1" applyAlignment="1">
      <alignment horizontal="right"/>
    </xf>
    <xf numFmtId="3" fontId="3" fillId="0" borderId="26" xfId="0" applyNumberFormat="1" applyFont="1" applyFill="1" applyBorder="1" applyAlignment="1">
      <alignment horizontal="center" vertical="center" textRotation="90" wrapText="1" shrinkToFit="1"/>
    </xf>
    <xf numFmtId="3" fontId="3" fillId="0" borderId="17" xfId="0" applyNumberFormat="1" applyFont="1" applyFill="1" applyBorder="1" applyAlignment="1">
      <alignment horizontal="center" vertical="center" textRotation="90" wrapText="1" shrinkToFit="1"/>
    </xf>
    <xf numFmtId="3" fontId="3" fillId="0" borderId="24" xfId="0" applyNumberFormat="1" applyFont="1" applyFill="1" applyBorder="1" applyAlignment="1">
      <alignment horizontal="center" vertical="center" textRotation="90" wrapText="1" shrinkToFit="1"/>
    </xf>
    <xf numFmtId="0" fontId="7" fillId="0" borderId="27" xfId="0" applyFont="1" applyBorder="1" applyAlignment="1">
      <alignment vertical="top"/>
    </xf>
    <xf numFmtId="49" fontId="5" fillId="0" borderId="19" xfId="0" applyNumberFormat="1" applyFont="1" applyFill="1" applyBorder="1" applyAlignment="1">
      <alignment horizontal="center" vertical="top"/>
    </xf>
    <xf numFmtId="49" fontId="5" fillId="0" borderId="31" xfId="0" applyNumberFormat="1" applyFont="1" applyFill="1" applyBorder="1" applyAlignment="1">
      <alignment horizontal="center" vertical="top"/>
    </xf>
    <xf numFmtId="49" fontId="3" fillId="6" borderId="8" xfId="0" applyNumberFormat="1"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0" borderId="15" xfId="0" applyFont="1" applyBorder="1" applyAlignment="1">
      <alignment vertical="top" wrapText="1"/>
    </xf>
    <xf numFmtId="0" fontId="8" fillId="6" borderId="15" xfId="0" applyFont="1" applyFill="1" applyBorder="1" applyAlignment="1">
      <alignment horizontal="center" vertical="center" textRotation="90" wrapText="1"/>
    </xf>
    <xf numFmtId="49" fontId="3" fillId="6" borderId="5" xfId="0" applyNumberFormat="1" applyFont="1" applyFill="1" applyBorder="1" applyAlignment="1">
      <alignment horizontal="center" vertical="center" wrapText="1"/>
    </xf>
    <xf numFmtId="0" fontId="7" fillId="0" borderId="8" xfId="0" applyFont="1" applyBorder="1" applyAlignment="1">
      <alignment horizontal="center" wrapText="1"/>
    </xf>
    <xf numFmtId="0" fontId="7" fillId="0" borderId="60" xfId="0" applyFont="1" applyBorder="1" applyAlignment="1">
      <alignment horizontal="center" vertical="top" wrapText="1"/>
    </xf>
    <xf numFmtId="0" fontId="7" fillId="0" borderId="61" xfId="0" applyFont="1" applyBorder="1" applyAlignment="1">
      <alignment horizontal="center" vertical="top" wrapText="1"/>
    </xf>
    <xf numFmtId="3" fontId="11" fillId="6" borderId="13" xfId="0" applyNumberFormat="1" applyFont="1" applyFill="1" applyBorder="1" applyAlignment="1">
      <alignment horizontal="left" vertical="top" wrapText="1"/>
    </xf>
    <xf numFmtId="3" fontId="11" fillId="6" borderId="47" xfId="0" applyNumberFormat="1" applyFont="1" applyFill="1" applyBorder="1" applyAlignment="1">
      <alignment horizontal="left" vertical="top" wrapText="1"/>
    </xf>
    <xf numFmtId="0" fontId="7" fillId="6" borderId="59" xfId="0" applyFont="1" applyFill="1" applyBorder="1" applyAlignment="1">
      <alignment horizontal="center" vertical="top" wrapText="1"/>
    </xf>
    <xf numFmtId="0" fontId="3" fillId="0" borderId="19" xfId="0" applyFont="1" applyBorder="1" applyAlignment="1">
      <alignment horizontal="left" vertical="top" wrapText="1"/>
    </xf>
    <xf numFmtId="0" fontId="7" fillId="0" borderId="91" xfId="0" applyFont="1" applyBorder="1" applyAlignment="1">
      <alignment vertical="top" wrapText="1"/>
    </xf>
    <xf numFmtId="0" fontId="3" fillId="6" borderId="54" xfId="0" applyFont="1" applyFill="1" applyBorder="1" applyAlignment="1">
      <alignment vertical="top" wrapText="1"/>
    </xf>
    <xf numFmtId="0" fontId="3" fillId="2" borderId="8" xfId="0" applyFont="1" applyFill="1" applyBorder="1" applyAlignment="1">
      <alignment horizontal="center" vertical="top" wrapText="1"/>
    </xf>
    <xf numFmtId="0" fontId="7" fillId="0" borderId="60" xfId="0" applyFont="1" applyBorder="1" applyAlignment="1">
      <alignment horizontal="left" vertical="top" wrapText="1"/>
    </xf>
    <xf numFmtId="49" fontId="5" fillId="6" borderId="30" xfId="0" applyNumberFormat="1" applyFont="1" applyFill="1" applyBorder="1" applyAlignment="1">
      <alignment horizontal="center" vertical="top"/>
    </xf>
    <xf numFmtId="0" fontId="2" fillId="6" borderId="31" xfId="0" applyFont="1" applyFill="1" applyBorder="1" applyAlignment="1">
      <alignment horizontal="center" vertical="center" textRotation="90" wrapText="1"/>
    </xf>
    <xf numFmtId="165" fontId="3" fillId="6" borderId="15" xfId="0" applyNumberFormat="1" applyFont="1" applyFill="1" applyBorder="1" applyAlignment="1">
      <alignment vertical="top" wrapText="1"/>
    </xf>
    <xf numFmtId="165" fontId="3" fillId="6" borderId="31" xfId="0" applyNumberFormat="1" applyFont="1" applyFill="1" applyBorder="1" applyAlignment="1">
      <alignment vertical="top" wrapText="1"/>
    </xf>
    <xf numFmtId="0" fontId="3" fillId="6" borderId="42" xfId="0" applyFont="1" applyFill="1" applyBorder="1" applyAlignment="1">
      <alignment horizontal="left" vertical="top" wrapText="1"/>
    </xf>
    <xf numFmtId="0" fontId="3" fillId="6" borderId="43" xfId="0" applyFont="1" applyFill="1" applyBorder="1" applyAlignment="1">
      <alignment horizontal="center" wrapText="1"/>
    </xf>
    <xf numFmtId="0" fontId="3" fillId="0" borderId="8" xfId="0" applyFont="1" applyBorder="1" applyAlignment="1">
      <alignment horizontal="center" wrapText="1"/>
    </xf>
    <xf numFmtId="49" fontId="3" fillId="6" borderId="43" xfId="0" applyNumberFormat="1" applyFont="1" applyFill="1" applyBorder="1" applyAlignment="1">
      <alignment horizontal="center" vertical="center" wrapText="1"/>
    </xf>
    <xf numFmtId="0" fontId="7" fillId="0" borderId="8" xfId="0" applyFont="1" applyBorder="1" applyAlignment="1">
      <alignment horizontal="center" vertical="center"/>
    </xf>
    <xf numFmtId="0" fontId="3" fillId="0" borderId="43" xfId="0" applyFont="1" applyBorder="1" applyAlignment="1">
      <alignment horizontal="center" vertical="center" wrapText="1"/>
    </xf>
    <xf numFmtId="0" fontId="7" fillId="0" borderId="8" xfId="0" applyFont="1" applyBorder="1" applyAlignment="1">
      <alignment horizontal="center" vertical="center" wrapText="1"/>
    </xf>
    <xf numFmtId="49" fontId="5" fillId="8" borderId="25" xfId="0" applyNumberFormat="1" applyFont="1" applyFill="1" applyBorder="1" applyAlignment="1">
      <alignment horizontal="center" vertical="top"/>
    </xf>
    <xf numFmtId="0" fontId="14" fillId="6" borderId="47" xfId="0" applyFont="1" applyFill="1" applyBorder="1" applyAlignment="1">
      <alignment horizontal="left" vertical="top" wrapText="1"/>
    </xf>
    <xf numFmtId="49" fontId="5" fillId="0" borderId="25" xfId="0" applyNumberFormat="1" applyFont="1" applyBorder="1" applyAlignment="1">
      <alignment horizontal="center" vertical="top"/>
    </xf>
    <xf numFmtId="49" fontId="5" fillId="0" borderId="15" xfId="0" applyNumberFormat="1" applyFont="1" applyBorder="1" applyAlignment="1">
      <alignment horizontal="center" vertical="top"/>
    </xf>
    <xf numFmtId="0" fontId="7" fillId="0" borderId="28" xfId="0" applyFont="1" applyBorder="1" applyAlignment="1">
      <alignment vertical="top" wrapText="1"/>
    </xf>
    <xf numFmtId="0" fontId="7" fillId="0" borderId="31" xfId="0" applyFont="1" applyBorder="1" applyAlignment="1"/>
    <xf numFmtId="49" fontId="5" fillId="0" borderId="15" xfId="0" applyNumberFormat="1" applyFont="1" applyFill="1" applyBorder="1" applyAlignment="1">
      <alignment horizontal="center" vertical="top"/>
    </xf>
  </cellXfs>
  <cellStyles count="4">
    <cellStyle name="Excel Built-in Normal" xfId="3"/>
    <cellStyle name="Įprastas" xfId="0" builtinId="0"/>
    <cellStyle name="Įprastas 2" xfId="1"/>
    <cellStyle name="Stilius 1" xfId="2"/>
  </cellStyles>
  <dxfs count="0"/>
  <tableStyles count="0" defaultTableStyle="TableStyleMedium2" defaultPivotStyle="PivotStyleLight16"/>
  <colors>
    <mruColors>
      <color rgb="FFFFFF99"/>
      <color rgb="FFCCFFCC"/>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270"/>
  <sheetViews>
    <sheetView tabSelected="1" zoomScaleNormal="100" zoomScaleSheetLayoutView="100" workbookViewId="0">
      <selection activeCell="X26" sqref="X26"/>
    </sheetView>
  </sheetViews>
  <sheetFormatPr defaultRowHeight="12.75" x14ac:dyDescent="0.2"/>
  <cols>
    <col min="1" max="3" width="2.7109375" style="5" customWidth="1"/>
    <col min="4" max="4" width="34.7109375" style="5" customWidth="1"/>
    <col min="5" max="5" width="3.5703125" style="13" customWidth="1"/>
    <col min="6" max="6" width="4.140625" style="735" customWidth="1"/>
    <col min="7" max="7" width="8.28515625" style="20" customWidth="1"/>
    <col min="8" max="10" width="8.85546875" style="5" customWidth="1"/>
    <col min="11" max="11" width="37.7109375" style="5" customWidth="1"/>
    <col min="12" max="14" width="4.5703125" style="5" customWidth="1"/>
    <col min="15" max="16384" width="9.140625" style="3"/>
  </cols>
  <sheetData>
    <row r="1" spans="1:14" s="46" customFormat="1" ht="14.25" customHeight="1" x14ac:dyDescent="0.2">
      <c r="A1" s="263"/>
      <c r="B1" s="264"/>
      <c r="C1" s="394"/>
      <c r="E1" s="265"/>
      <c r="F1" s="43"/>
      <c r="G1" s="43"/>
      <c r="H1" s="15"/>
      <c r="I1" s="15"/>
      <c r="J1" s="708"/>
      <c r="K1" s="1531" t="s">
        <v>309</v>
      </c>
      <c r="L1" s="1532"/>
      <c r="M1" s="1532"/>
      <c r="N1" s="1532"/>
    </row>
    <row r="2" spans="1:14" s="46" customFormat="1" ht="17.25" customHeight="1" x14ac:dyDescent="0.2">
      <c r="A2" s="263"/>
      <c r="B2" s="264"/>
      <c r="C2" s="394"/>
      <c r="E2" s="265"/>
      <c r="F2" s="43"/>
      <c r="G2" s="43"/>
      <c r="H2" s="15"/>
      <c r="I2" s="15"/>
      <c r="J2" s="708"/>
      <c r="K2" s="1531" t="s">
        <v>310</v>
      </c>
      <c r="L2" s="1532"/>
      <c r="M2" s="1532"/>
      <c r="N2" s="1532"/>
    </row>
    <row r="3" spans="1:14" s="46" customFormat="1" ht="14.25" customHeight="1" x14ac:dyDescent="0.2">
      <c r="A3" s="263"/>
      <c r="B3" s="264"/>
      <c r="C3" s="394"/>
      <c r="E3" s="265"/>
      <c r="F3" s="43"/>
      <c r="G3" s="43"/>
      <c r="H3" s="15"/>
      <c r="I3" s="15"/>
      <c r="J3" s="708"/>
      <c r="K3" s="905" t="s">
        <v>308</v>
      </c>
      <c r="L3" s="906"/>
      <c r="M3" s="906"/>
      <c r="N3" s="906"/>
    </row>
    <row r="4" spans="1:14" s="46" customFormat="1" ht="12" customHeight="1" x14ac:dyDescent="0.2">
      <c r="A4" s="263"/>
      <c r="B4" s="264"/>
      <c r="C4" s="394"/>
      <c r="E4" s="265"/>
      <c r="F4" s="43"/>
      <c r="G4" s="43"/>
      <c r="H4" s="15"/>
      <c r="I4" s="15"/>
      <c r="J4" s="708"/>
      <c r="K4" s="708"/>
      <c r="L4" s="708"/>
      <c r="M4" s="708"/>
    </row>
    <row r="5" spans="1:14" ht="11.25" customHeight="1" x14ac:dyDescent="0.2">
      <c r="C5" s="10"/>
      <c r="F5" s="275"/>
      <c r="J5" s="274"/>
      <c r="K5" s="274"/>
      <c r="L5" s="274"/>
      <c r="M5" s="274"/>
      <c r="N5" s="3"/>
    </row>
    <row r="6" spans="1:14" s="50" customFormat="1" ht="15.75" x14ac:dyDescent="0.2">
      <c r="A6" s="1577" t="s">
        <v>307</v>
      </c>
      <c r="B6" s="1577"/>
      <c r="C6" s="1577"/>
      <c r="D6" s="1577"/>
      <c r="E6" s="1577"/>
      <c r="F6" s="1577"/>
      <c r="G6" s="1577"/>
      <c r="H6" s="1577"/>
      <c r="I6" s="1577"/>
      <c r="J6" s="1577"/>
      <c r="K6" s="1577"/>
      <c r="L6" s="1577"/>
      <c r="M6" s="1577"/>
    </row>
    <row r="7" spans="1:14" ht="15.75" x14ac:dyDescent="0.2">
      <c r="A7" s="1578" t="s">
        <v>25</v>
      </c>
      <c r="B7" s="1578"/>
      <c r="C7" s="1578"/>
      <c r="D7" s="1578"/>
      <c r="E7" s="1578"/>
      <c r="F7" s="1578"/>
      <c r="G7" s="1578"/>
      <c r="H7" s="1578"/>
      <c r="I7" s="1578"/>
      <c r="J7" s="1578"/>
      <c r="K7" s="1578"/>
      <c r="L7" s="1578"/>
      <c r="M7" s="1578"/>
      <c r="N7" s="3"/>
    </row>
    <row r="8" spans="1:14" ht="15.75" x14ac:dyDescent="0.2">
      <c r="A8" s="1579" t="s">
        <v>106</v>
      </c>
      <c r="B8" s="1579"/>
      <c r="C8" s="1579"/>
      <c r="D8" s="1579"/>
      <c r="E8" s="1579"/>
      <c r="F8" s="1579"/>
      <c r="G8" s="1579"/>
      <c r="H8" s="1579"/>
      <c r="I8" s="1579"/>
      <c r="J8" s="1579"/>
      <c r="K8" s="1579"/>
      <c r="L8" s="1579"/>
      <c r="M8" s="1579"/>
      <c r="N8" s="3"/>
    </row>
    <row r="9" spans="1:14" ht="13.5" thickBot="1" x14ac:dyDescent="0.25">
      <c r="C9" s="10"/>
      <c r="J9" s="1580" t="s">
        <v>103</v>
      </c>
      <c r="K9" s="1580"/>
      <c r="L9" s="1580"/>
      <c r="M9" s="1581"/>
      <c r="N9" s="3"/>
    </row>
    <row r="10" spans="1:14" s="50" customFormat="1" ht="24.75" customHeight="1" x14ac:dyDescent="0.2">
      <c r="A10" s="1421" t="s">
        <v>17</v>
      </c>
      <c r="B10" s="1424" t="s">
        <v>0</v>
      </c>
      <c r="C10" s="1424" t="s">
        <v>1</v>
      </c>
      <c r="D10" s="1427" t="s">
        <v>12</v>
      </c>
      <c r="E10" s="1409" t="s">
        <v>2</v>
      </c>
      <c r="F10" s="1412" t="s">
        <v>3</v>
      </c>
      <c r="G10" s="1415" t="s">
        <v>4</v>
      </c>
      <c r="H10" s="1418" t="s">
        <v>231</v>
      </c>
      <c r="I10" s="1418" t="s">
        <v>162</v>
      </c>
      <c r="J10" s="1418" t="s">
        <v>224</v>
      </c>
      <c r="K10" s="1399" t="s">
        <v>11</v>
      </c>
      <c r="L10" s="1400"/>
      <c r="M10" s="1400"/>
      <c r="N10" s="1401"/>
    </row>
    <row r="11" spans="1:14" s="50" customFormat="1" ht="18.75" customHeight="1" x14ac:dyDescent="0.2">
      <c r="A11" s="1422"/>
      <c r="B11" s="1425"/>
      <c r="C11" s="1425"/>
      <c r="D11" s="1428"/>
      <c r="E11" s="1410"/>
      <c r="F11" s="1413"/>
      <c r="G11" s="1416"/>
      <c r="H11" s="1419"/>
      <c r="I11" s="1419"/>
      <c r="J11" s="1419"/>
      <c r="K11" s="1402" t="s">
        <v>12</v>
      </c>
      <c r="L11" s="1404" t="s">
        <v>84</v>
      </c>
      <c r="M11" s="1404"/>
      <c r="N11" s="1405"/>
    </row>
    <row r="12" spans="1:14" s="50" customFormat="1" ht="59.25" customHeight="1" thickBot="1" x14ac:dyDescent="0.25">
      <c r="A12" s="1423"/>
      <c r="B12" s="1426"/>
      <c r="C12" s="1426"/>
      <c r="D12" s="1429"/>
      <c r="E12" s="1411"/>
      <c r="F12" s="1414"/>
      <c r="G12" s="1417"/>
      <c r="H12" s="1420"/>
      <c r="I12" s="1420"/>
      <c r="J12" s="1420"/>
      <c r="K12" s="1403"/>
      <c r="L12" s="132" t="s">
        <v>110</v>
      </c>
      <c r="M12" s="132" t="s">
        <v>163</v>
      </c>
      <c r="N12" s="4" t="s">
        <v>225</v>
      </c>
    </row>
    <row r="13" spans="1:14" s="12" customFormat="1" ht="15" customHeight="1" x14ac:dyDescent="0.2">
      <c r="A13" s="1406" t="s">
        <v>60</v>
      </c>
      <c r="B13" s="1407"/>
      <c r="C13" s="1407"/>
      <c r="D13" s="1407"/>
      <c r="E13" s="1407"/>
      <c r="F13" s="1407"/>
      <c r="G13" s="1407"/>
      <c r="H13" s="1407"/>
      <c r="I13" s="1407"/>
      <c r="J13" s="1407"/>
      <c r="K13" s="1407"/>
      <c r="L13" s="1407"/>
      <c r="M13" s="1407"/>
      <c r="N13" s="1408"/>
    </row>
    <row r="14" spans="1:14" s="12" customFormat="1" ht="14.25" customHeight="1" x14ac:dyDescent="0.2">
      <c r="A14" s="1378" t="s">
        <v>45</v>
      </c>
      <c r="B14" s="1379"/>
      <c r="C14" s="1379"/>
      <c r="D14" s="1379"/>
      <c r="E14" s="1379"/>
      <c r="F14" s="1379"/>
      <c r="G14" s="1379"/>
      <c r="H14" s="1379"/>
      <c r="I14" s="1379"/>
      <c r="J14" s="1379"/>
      <c r="K14" s="1379"/>
      <c r="L14" s="1379"/>
      <c r="M14" s="1379"/>
      <c r="N14" s="1380"/>
    </row>
    <row r="15" spans="1:14" ht="15" customHeight="1" x14ac:dyDescent="0.2">
      <c r="A15" s="25" t="s">
        <v>5</v>
      </c>
      <c r="B15" s="1381" t="s">
        <v>61</v>
      </c>
      <c r="C15" s="1382"/>
      <c r="D15" s="1382"/>
      <c r="E15" s="1382"/>
      <c r="F15" s="1382"/>
      <c r="G15" s="1382"/>
      <c r="H15" s="1382"/>
      <c r="I15" s="1382"/>
      <c r="J15" s="1382"/>
      <c r="K15" s="1382"/>
      <c r="L15" s="1382"/>
      <c r="M15" s="1382"/>
      <c r="N15" s="1383"/>
    </row>
    <row r="16" spans="1:14" ht="15.75" customHeight="1" x14ac:dyDescent="0.2">
      <c r="A16" s="39" t="s">
        <v>5</v>
      </c>
      <c r="B16" s="40" t="s">
        <v>5</v>
      </c>
      <c r="C16" s="1384" t="s">
        <v>41</v>
      </c>
      <c r="D16" s="1385"/>
      <c r="E16" s="1385"/>
      <c r="F16" s="1385"/>
      <c r="G16" s="1385"/>
      <c r="H16" s="1385"/>
      <c r="I16" s="1385"/>
      <c r="J16" s="1385"/>
      <c r="K16" s="1385"/>
      <c r="L16" s="1385"/>
      <c r="M16" s="1385"/>
      <c r="N16" s="1386"/>
    </row>
    <row r="17" spans="1:14" ht="14.25" customHeight="1" x14ac:dyDescent="0.2">
      <c r="A17" s="712" t="s">
        <v>5</v>
      </c>
      <c r="B17" s="713" t="s">
        <v>5</v>
      </c>
      <c r="C17" s="743" t="s">
        <v>5</v>
      </c>
      <c r="D17" s="1389" t="s">
        <v>93</v>
      </c>
      <c r="E17" s="192" t="s">
        <v>300</v>
      </c>
      <c r="F17" s="714" t="s">
        <v>27</v>
      </c>
      <c r="G17" s="24" t="s">
        <v>24</v>
      </c>
      <c r="H17" s="260">
        <f>748.2+8.4-12.9+6.5</f>
        <v>750.2</v>
      </c>
      <c r="I17" s="260">
        <f>1424.5-100+200</f>
        <v>1524.5</v>
      </c>
      <c r="J17" s="260">
        <f>1622.5-100</f>
        <v>1522.5</v>
      </c>
      <c r="K17" s="270"/>
      <c r="L17" s="149"/>
      <c r="M17" s="149"/>
      <c r="N17" s="288"/>
    </row>
    <row r="18" spans="1:14" ht="22.5" customHeight="1" x14ac:dyDescent="0.2">
      <c r="A18" s="712"/>
      <c r="B18" s="713"/>
      <c r="C18" s="743"/>
      <c r="D18" s="1390"/>
      <c r="E18" s="768"/>
      <c r="F18" s="230"/>
      <c r="G18" s="36" t="s">
        <v>58</v>
      </c>
      <c r="H18" s="260">
        <f>900.2-187-242</f>
        <v>471.2</v>
      </c>
      <c r="I18" s="260"/>
      <c r="J18" s="260"/>
      <c r="K18" s="270"/>
      <c r="L18" s="393"/>
      <c r="M18" s="149"/>
      <c r="N18" s="408"/>
    </row>
    <row r="19" spans="1:14" ht="15" customHeight="1" x14ac:dyDescent="0.2">
      <c r="A19" s="712"/>
      <c r="B19" s="713"/>
      <c r="C19" s="743"/>
      <c r="D19" s="1373" t="s">
        <v>107</v>
      </c>
      <c r="E19" s="726"/>
      <c r="F19" s="752"/>
      <c r="G19" s="58"/>
      <c r="H19" s="103"/>
      <c r="I19" s="127"/>
      <c r="J19" s="103"/>
      <c r="K19" s="797" t="s">
        <v>218</v>
      </c>
      <c r="L19" s="798">
        <v>3.9</v>
      </c>
      <c r="M19" s="799">
        <v>3.9</v>
      </c>
      <c r="N19" s="800">
        <v>3.9</v>
      </c>
    </row>
    <row r="20" spans="1:14" ht="15" customHeight="1" x14ac:dyDescent="0.2">
      <c r="A20" s="712"/>
      <c r="B20" s="713"/>
      <c r="C20" s="743"/>
      <c r="D20" s="1387"/>
      <c r="E20" s="726"/>
      <c r="F20" s="752"/>
      <c r="G20" s="24"/>
      <c r="H20" s="260"/>
      <c r="I20" s="102"/>
      <c r="J20" s="260"/>
      <c r="K20" s="758" t="s">
        <v>297</v>
      </c>
      <c r="L20" s="287">
        <v>341</v>
      </c>
      <c r="M20" s="685">
        <v>353</v>
      </c>
      <c r="N20" s="488">
        <v>353</v>
      </c>
    </row>
    <row r="21" spans="1:14" ht="14.1" customHeight="1" x14ac:dyDescent="0.2">
      <c r="A21" s="1388"/>
      <c r="B21" s="1396"/>
      <c r="C21" s="1397"/>
      <c r="D21" s="1373" t="s">
        <v>30</v>
      </c>
      <c r="E21" s="1430" t="s">
        <v>96</v>
      </c>
      <c r="F21" s="1433"/>
      <c r="G21" s="686"/>
      <c r="H21" s="103"/>
      <c r="I21" s="127"/>
      <c r="J21" s="103"/>
      <c r="K21" s="755" t="s">
        <v>32</v>
      </c>
      <c r="L21" s="34">
        <v>4</v>
      </c>
      <c r="M21" s="470">
        <v>4</v>
      </c>
      <c r="N21" s="198">
        <v>4</v>
      </c>
    </row>
    <row r="22" spans="1:14" ht="14.1" customHeight="1" x14ac:dyDescent="0.2">
      <c r="A22" s="1388"/>
      <c r="B22" s="1396"/>
      <c r="C22" s="1397"/>
      <c r="D22" s="1387"/>
      <c r="E22" s="1431"/>
      <c r="F22" s="1433"/>
      <c r="G22" s="765"/>
      <c r="H22" s="260"/>
      <c r="I22" s="102"/>
      <c r="J22" s="260"/>
      <c r="K22" s="749" t="s">
        <v>83</v>
      </c>
      <c r="L22" s="81">
        <v>3</v>
      </c>
      <c r="M22" s="763">
        <v>3</v>
      </c>
      <c r="N22" s="536">
        <v>6</v>
      </c>
    </row>
    <row r="23" spans="1:14" ht="14.1" customHeight="1" x14ac:dyDescent="0.2">
      <c r="A23" s="1388"/>
      <c r="B23" s="1396"/>
      <c r="C23" s="1397"/>
      <c r="D23" s="1387"/>
      <c r="E23" s="1431"/>
      <c r="F23" s="1433"/>
      <c r="G23" s="765"/>
      <c r="H23" s="260"/>
      <c r="I23" s="102"/>
      <c r="J23" s="260"/>
      <c r="K23" s="749" t="s">
        <v>359</v>
      </c>
      <c r="L23" s="81">
        <v>1</v>
      </c>
      <c r="M23" s="81"/>
      <c r="N23" s="536"/>
    </row>
    <row r="24" spans="1:14" ht="14.1" customHeight="1" x14ac:dyDescent="0.2">
      <c r="A24" s="1388"/>
      <c r="B24" s="1396"/>
      <c r="C24" s="1397"/>
      <c r="D24" s="1387"/>
      <c r="E24" s="1431"/>
      <c r="F24" s="1434"/>
      <c r="G24" s="740"/>
      <c r="H24" s="260"/>
      <c r="I24" s="102"/>
      <c r="J24" s="260"/>
      <c r="K24" s="749" t="s">
        <v>245</v>
      </c>
      <c r="L24" s="81"/>
      <c r="M24" s="81">
        <v>3</v>
      </c>
      <c r="N24" s="536"/>
    </row>
    <row r="25" spans="1:14" ht="14.25" customHeight="1" x14ac:dyDescent="0.2">
      <c r="A25" s="1388"/>
      <c r="B25" s="1396"/>
      <c r="C25" s="1397"/>
      <c r="D25" s="1387"/>
      <c r="E25" s="1431"/>
      <c r="F25" s="1434"/>
      <c r="G25" s="740"/>
      <c r="H25" s="260"/>
      <c r="I25" s="102"/>
      <c r="J25" s="260"/>
      <c r="K25" s="1371" t="s">
        <v>330</v>
      </c>
      <c r="L25" s="135">
        <v>100</v>
      </c>
      <c r="M25" s="135"/>
      <c r="N25" s="536"/>
    </row>
    <row r="26" spans="1:14" ht="13.5" customHeight="1" x14ac:dyDescent="0.2">
      <c r="A26" s="1388"/>
      <c r="B26" s="1396"/>
      <c r="C26" s="1397"/>
      <c r="D26" s="1398"/>
      <c r="E26" s="1432"/>
      <c r="F26" s="1434"/>
      <c r="G26" s="283"/>
      <c r="H26" s="104"/>
      <c r="I26" s="101"/>
      <c r="J26" s="104"/>
      <c r="K26" s="1372"/>
      <c r="L26" s="137"/>
      <c r="M26" s="137"/>
      <c r="N26" s="197"/>
    </row>
    <row r="27" spans="1:14" ht="13.5" customHeight="1" x14ac:dyDescent="0.2">
      <c r="A27" s="712"/>
      <c r="B27" s="713"/>
      <c r="C27" s="743"/>
      <c r="D27" s="1373" t="s">
        <v>31</v>
      </c>
      <c r="E27" s="1375"/>
      <c r="F27" s="714"/>
      <c r="G27" s="740"/>
      <c r="H27" s="260"/>
      <c r="I27" s="734"/>
      <c r="J27" s="260"/>
      <c r="K27" s="795" t="s">
        <v>169</v>
      </c>
      <c r="L27" s="628"/>
      <c r="M27" s="573"/>
      <c r="N27" s="574"/>
    </row>
    <row r="28" spans="1:14" ht="24.75" customHeight="1" x14ac:dyDescent="0.2">
      <c r="A28" s="712"/>
      <c r="B28" s="713"/>
      <c r="C28" s="743"/>
      <c r="D28" s="1374"/>
      <c r="E28" s="1376"/>
      <c r="F28" s="714"/>
      <c r="G28" s="740"/>
      <c r="H28" s="260"/>
      <c r="I28" s="102"/>
      <c r="J28" s="260"/>
      <c r="K28" s="749" t="s">
        <v>170</v>
      </c>
      <c r="L28" s="948">
        <v>87</v>
      </c>
      <c r="M28" s="135">
        <v>87</v>
      </c>
      <c r="N28" s="536">
        <v>87</v>
      </c>
    </row>
    <row r="29" spans="1:14" ht="25.5" customHeight="1" x14ac:dyDescent="0.2">
      <c r="A29" s="712"/>
      <c r="B29" s="713"/>
      <c r="C29" s="743"/>
      <c r="D29" s="1374"/>
      <c r="E29" s="1376"/>
      <c r="F29" s="714"/>
      <c r="G29" s="740"/>
      <c r="H29" s="260"/>
      <c r="I29" s="102"/>
      <c r="J29" s="260"/>
      <c r="K29" s="756" t="s">
        <v>145</v>
      </c>
      <c r="L29" s="796">
        <v>63</v>
      </c>
      <c r="M29" s="535">
        <v>63</v>
      </c>
      <c r="N29" s="564">
        <v>63</v>
      </c>
    </row>
    <row r="30" spans="1:14" ht="15" customHeight="1" x14ac:dyDescent="0.2">
      <c r="A30" s="712"/>
      <c r="B30" s="713"/>
      <c r="C30" s="743"/>
      <c r="D30" s="1374"/>
      <c r="E30" s="1376"/>
      <c r="F30" s="714"/>
      <c r="G30" s="740"/>
      <c r="H30" s="260"/>
      <c r="I30" s="102"/>
      <c r="J30" s="260"/>
      <c r="K30" s="327" t="s">
        <v>171</v>
      </c>
      <c r="L30" s="324"/>
      <c r="M30" s="479"/>
      <c r="N30" s="325"/>
    </row>
    <row r="31" spans="1:14" ht="13.5" customHeight="1" x14ac:dyDescent="0.2">
      <c r="A31" s="712"/>
      <c r="B31" s="713"/>
      <c r="C31" s="743"/>
      <c r="D31" s="192"/>
      <c r="E31" s="1376"/>
      <c r="F31" s="714"/>
      <c r="G31" s="740"/>
      <c r="H31" s="260"/>
      <c r="I31" s="102"/>
      <c r="J31" s="260"/>
      <c r="K31" s="766" t="s">
        <v>104</v>
      </c>
      <c r="L31" s="81">
        <v>10</v>
      </c>
      <c r="M31" s="135">
        <v>10</v>
      </c>
      <c r="N31" s="536">
        <v>10</v>
      </c>
    </row>
    <row r="32" spans="1:14" ht="13.5" customHeight="1" x14ac:dyDescent="0.2">
      <c r="A32" s="712"/>
      <c r="B32" s="713"/>
      <c r="C32" s="743"/>
      <c r="D32" s="192"/>
      <c r="E32" s="1376"/>
      <c r="F32" s="714"/>
      <c r="G32" s="740"/>
      <c r="H32" s="260"/>
      <c r="I32" s="102"/>
      <c r="J32" s="260"/>
      <c r="K32" s="331" t="s">
        <v>33</v>
      </c>
      <c r="L32" s="32" t="s">
        <v>246</v>
      </c>
      <c r="M32" s="256" t="s">
        <v>246</v>
      </c>
      <c r="N32" s="326" t="s">
        <v>246</v>
      </c>
    </row>
    <row r="33" spans="1:48" ht="13.5" customHeight="1" x14ac:dyDescent="0.2">
      <c r="A33" s="712"/>
      <c r="B33" s="713"/>
      <c r="C33" s="743"/>
      <c r="D33" s="192"/>
      <c r="E33" s="1376"/>
      <c r="F33" s="714"/>
      <c r="G33" s="740"/>
      <c r="H33" s="260"/>
      <c r="I33" s="102"/>
      <c r="J33" s="260"/>
      <c r="K33" s="331" t="s">
        <v>82</v>
      </c>
      <c r="L33" s="32" t="s">
        <v>298</v>
      </c>
      <c r="M33" s="256" t="s">
        <v>298</v>
      </c>
      <c r="N33" s="326" t="s">
        <v>298</v>
      </c>
    </row>
    <row r="34" spans="1:48" ht="13.5" customHeight="1" x14ac:dyDescent="0.2">
      <c r="A34" s="712"/>
      <c r="B34" s="713"/>
      <c r="C34" s="743"/>
      <c r="D34" s="192"/>
      <c r="E34" s="1376"/>
      <c r="F34" s="714"/>
      <c r="G34" s="740"/>
      <c r="H34" s="260"/>
      <c r="I34" s="102"/>
      <c r="J34" s="260"/>
      <c r="K34" s="331" t="s">
        <v>247</v>
      </c>
      <c r="L34" s="32" t="s">
        <v>166</v>
      </c>
      <c r="M34" s="256" t="s">
        <v>166</v>
      </c>
      <c r="N34" s="326" t="s">
        <v>166</v>
      </c>
    </row>
    <row r="35" spans="1:48" ht="13.5" customHeight="1" x14ac:dyDescent="0.2">
      <c r="A35" s="712"/>
      <c r="B35" s="713"/>
      <c r="C35" s="743"/>
      <c r="D35" s="192"/>
      <c r="E35" s="1376"/>
      <c r="F35" s="714"/>
      <c r="G35" s="740"/>
      <c r="H35" s="260"/>
      <c r="I35" s="102"/>
      <c r="J35" s="260"/>
      <c r="K35" s="5" t="s">
        <v>232</v>
      </c>
      <c r="L35" s="32" t="s">
        <v>228</v>
      </c>
      <c r="M35" s="256" t="s">
        <v>228</v>
      </c>
      <c r="N35" s="326" t="s">
        <v>228</v>
      </c>
    </row>
    <row r="36" spans="1:48" s="8" customFormat="1" ht="13.5" customHeight="1" x14ac:dyDescent="0.2">
      <c r="A36" s="712"/>
      <c r="B36" s="713"/>
      <c r="C36" s="743"/>
      <c r="D36" s="192"/>
      <c r="E36" s="1376"/>
      <c r="F36" s="714"/>
      <c r="G36" s="740"/>
      <c r="H36" s="260"/>
      <c r="I36" s="102"/>
      <c r="J36" s="260"/>
      <c r="K36" s="1134" t="s">
        <v>248</v>
      </c>
      <c r="L36" s="32" t="s">
        <v>249</v>
      </c>
      <c r="M36" s="256" t="s">
        <v>249</v>
      </c>
      <c r="N36" s="326" t="s">
        <v>249</v>
      </c>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row>
    <row r="37" spans="1:48" s="8" customFormat="1" ht="13.5" customHeight="1" x14ac:dyDescent="0.2">
      <c r="A37" s="1135"/>
      <c r="B37" s="1136"/>
      <c r="C37" s="1138"/>
      <c r="D37" s="192"/>
      <c r="E37" s="1376"/>
      <c r="F37" s="1137"/>
      <c r="G37" s="1140"/>
      <c r="H37" s="260"/>
      <c r="I37" s="102"/>
      <c r="J37" s="260"/>
      <c r="K37" s="1134" t="s">
        <v>367</v>
      </c>
      <c r="L37" s="32" t="s">
        <v>50</v>
      </c>
      <c r="M37" s="256"/>
      <c r="N37" s="326"/>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row>
    <row r="38" spans="1:48" s="8" customFormat="1" ht="14.25" customHeight="1" x14ac:dyDescent="0.2">
      <c r="A38" s="712"/>
      <c r="B38" s="713"/>
      <c r="C38" s="743"/>
      <c r="D38" s="192"/>
      <c r="E38" s="1376"/>
      <c r="F38" s="714"/>
      <c r="G38" s="740"/>
      <c r="H38" s="260"/>
      <c r="I38" s="102"/>
      <c r="J38" s="260"/>
      <c r="K38" s="769" t="s">
        <v>172</v>
      </c>
      <c r="L38" s="239"/>
      <c r="M38" s="479"/>
      <c r="N38" s="325"/>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row>
    <row r="39" spans="1:48" s="8" customFormat="1" ht="13.5" customHeight="1" x14ac:dyDescent="0.2">
      <c r="A39" s="712"/>
      <c r="B39" s="713"/>
      <c r="C39" s="743"/>
      <c r="D39" s="192"/>
      <c r="E39" s="1376"/>
      <c r="F39" s="714"/>
      <c r="G39" s="740"/>
      <c r="H39" s="260"/>
      <c r="I39" s="102"/>
      <c r="J39" s="260"/>
      <c r="K39" s="331" t="s">
        <v>147</v>
      </c>
      <c r="L39" s="142">
        <v>11</v>
      </c>
      <c r="M39" s="383">
        <v>11</v>
      </c>
      <c r="N39" s="329">
        <v>11</v>
      </c>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row>
    <row r="40" spans="1:48" s="8" customFormat="1" ht="13.5" customHeight="1" x14ac:dyDescent="0.2">
      <c r="A40" s="712"/>
      <c r="B40" s="713"/>
      <c r="C40" s="743"/>
      <c r="D40" s="192"/>
      <c r="E40" s="1376"/>
      <c r="F40" s="714"/>
      <c r="G40" s="740"/>
      <c r="H40" s="260"/>
      <c r="I40" s="102"/>
      <c r="J40" s="260"/>
      <c r="K40" s="739" t="s">
        <v>146</v>
      </c>
      <c r="L40" s="292" t="s">
        <v>131</v>
      </c>
      <c r="M40" s="292" t="s">
        <v>131</v>
      </c>
      <c r="N40" s="191" t="s">
        <v>131</v>
      </c>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row>
    <row r="41" spans="1:48" s="8" customFormat="1" ht="15" customHeight="1" x14ac:dyDescent="0.2">
      <c r="A41" s="712"/>
      <c r="B41" s="713"/>
      <c r="C41" s="743"/>
      <c r="D41" s="192"/>
      <c r="E41" s="1376"/>
      <c r="F41" s="714"/>
      <c r="G41" s="740"/>
      <c r="H41" s="260"/>
      <c r="I41" s="102"/>
      <c r="J41" s="260"/>
      <c r="K41" s="327" t="s">
        <v>331</v>
      </c>
      <c r="L41" s="383"/>
      <c r="M41" s="383"/>
      <c r="N41" s="329"/>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row>
    <row r="42" spans="1:48" s="8" customFormat="1" ht="26.25" customHeight="1" x14ac:dyDescent="0.2">
      <c r="A42" s="712"/>
      <c r="B42" s="713"/>
      <c r="C42" s="743"/>
      <c r="D42" s="192"/>
      <c r="E42" s="1376"/>
      <c r="F42" s="714"/>
      <c r="G42" s="740"/>
      <c r="H42" s="260"/>
      <c r="I42" s="102"/>
      <c r="J42" s="260"/>
      <c r="K42" s="711" t="s">
        <v>322</v>
      </c>
      <c r="L42" s="383"/>
      <c r="M42" s="383">
        <v>150</v>
      </c>
      <c r="N42" s="329"/>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row>
    <row r="43" spans="1:48" s="8" customFormat="1" ht="27.75" customHeight="1" x14ac:dyDescent="0.2">
      <c r="A43" s="712"/>
      <c r="B43" s="713"/>
      <c r="C43" s="743"/>
      <c r="D43" s="192"/>
      <c r="E43" s="1376"/>
      <c r="F43" s="714"/>
      <c r="G43" s="740"/>
      <c r="H43" s="260"/>
      <c r="I43" s="102"/>
      <c r="J43" s="260"/>
      <c r="K43" s="711" t="s">
        <v>324</v>
      </c>
      <c r="L43" s="383"/>
      <c r="M43" s="901">
        <v>7.5</v>
      </c>
      <c r="N43" s="329"/>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row>
    <row r="44" spans="1:48" s="8" customFormat="1" ht="13.5" customHeight="1" x14ac:dyDescent="0.2">
      <c r="A44" s="712"/>
      <c r="B44" s="713"/>
      <c r="C44" s="743"/>
      <c r="D44" s="192"/>
      <c r="E44" s="1376"/>
      <c r="F44" s="714"/>
      <c r="G44" s="740"/>
      <c r="H44" s="260"/>
      <c r="I44" s="102"/>
      <c r="J44" s="260"/>
      <c r="K44" s="45" t="s">
        <v>207</v>
      </c>
      <c r="L44" s="190">
        <v>1</v>
      </c>
      <c r="M44" s="292">
        <v>1</v>
      </c>
      <c r="N44" s="191">
        <v>1</v>
      </c>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row>
    <row r="45" spans="1:48" s="8" customFormat="1" ht="30" customHeight="1" x14ac:dyDescent="0.2">
      <c r="A45" s="712"/>
      <c r="B45" s="713"/>
      <c r="C45" s="743"/>
      <c r="D45" s="193"/>
      <c r="E45" s="1377"/>
      <c r="F45" s="714"/>
      <c r="G45" s="740"/>
      <c r="H45" s="260"/>
      <c r="I45" s="102"/>
      <c r="J45" s="260"/>
      <c r="K45" s="748" t="s">
        <v>311</v>
      </c>
      <c r="L45" s="391">
        <v>2</v>
      </c>
      <c r="M45" s="770"/>
      <c r="N45" s="392"/>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row>
    <row r="46" spans="1:48" s="8" customFormat="1" ht="25.5" customHeight="1" x14ac:dyDescent="0.2">
      <c r="A46" s="712"/>
      <c r="B46" s="713"/>
      <c r="C46" s="752"/>
      <c r="D46" s="1387" t="s">
        <v>135</v>
      </c>
      <c r="E46" s="1439" t="s">
        <v>138</v>
      </c>
      <c r="F46" s="714"/>
      <c r="G46" s="58"/>
      <c r="H46" s="103"/>
      <c r="I46" s="127"/>
      <c r="J46" s="103"/>
      <c r="K46" s="764" t="s">
        <v>150</v>
      </c>
      <c r="L46" s="175">
        <v>100</v>
      </c>
      <c r="M46" s="771"/>
      <c r="N46" s="257"/>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row>
    <row r="47" spans="1:48" s="8" customFormat="1" ht="9" customHeight="1" x14ac:dyDescent="0.2">
      <c r="A47" s="712"/>
      <c r="B47" s="713"/>
      <c r="C47" s="752"/>
      <c r="D47" s="1387"/>
      <c r="E47" s="1440"/>
      <c r="F47" s="714"/>
      <c r="G47" s="59"/>
      <c r="H47" s="104"/>
      <c r="I47" s="101"/>
      <c r="J47" s="104"/>
      <c r="K47" s="762"/>
      <c r="L47" s="176"/>
      <c r="M47" s="772"/>
      <c r="N47" s="257"/>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row>
    <row r="48" spans="1:48" s="8" customFormat="1" ht="13.5" customHeight="1" x14ac:dyDescent="0.2">
      <c r="A48" s="712"/>
      <c r="B48" s="713"/>
      <c r="C48" s="69"/>
      <c r="D48" s="1373" t="s">
        <v>128</v>
      </c>
      <c r="E48" s="1440"/>
      <c r="F48" s="1443"/>
      <c r="G48" s="24"/>
      <c r="H48" s="260"/>
      <c r="I48" s="102"/>
      <c r="J48" s="260"/>
      <c r="K48" s="717" t="s">
        <v>94</v>
      </c>
      <c r="L48" s="174">
        <v>1</v>
      </c>
      <c r="M48" s="386"/>
      <c r="N48" s="201"/>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row>
    <row r="49" spans="1:48" s="8" customFormat="1" ht="24.75" customHeight="1" x14ac:dyDescent="0.2">
      <c r="A49" s="712"/>
      <c r="B49" s="713"/>
      <c r="C49" s="743"/>
      <c r="D49" s="1398"/>
      <c r="E49" s="1440"/>
      <c r="F49" s="1443"/>
      <c r="G49" s="740"/>
      <c r="H49" s="260"/>
      <c r="I49" s="734"/>
      <c r="J49" s="260"/>
      <c r="K49" s="331" t="s">
        <v>150</v>
      </c>
      <c r="L49" s="77"/>
      <c r="M49" s="440">
        <v>100</v>
      </c>
      <c r="N49" s="217"/>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row>
    <row r="50" spans="1:48" s="8" customFormat="1" ht="12.75" customHeight="1" x14ac:dyDescent="0.2">
      <c r="A50" s="712"/>
      <c r="B50" s="713"/>
      <c r="C50" s="69"/>
      <c r="D50" s="1392" t="s">
        <v>111</v>
      </c>
      <c r="E50" s="1394" t="s">
        <v>102</v>
      </c>
      <c r="F50" s="1391"/>
      <c r="G50" s="58"/>
      <c r="H50" s="103"/>
      <c r="I50" s="127"/>
      <c r="J50" s="103"/>
      <c r="K50" s="751" t="s">
        <v>94</v>
      </c>
      <c r="L50" s="135">
        <v>1</v>
      </c>
      <c r="M50" s="167"/>
      <c r="N50" s="257"/>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row>
    <row r="51" spans="1:48" s="8" customFormat="1" ht="24" customHeight="1" x14ac:dyDescent="0.2">
      <c r="A51" s="712"/>
      <c r="B51" s="713"/>
      <c r="C51" s="743"/>
      <c r="D51" s="1393"/>
      <c r="E51" s="1395"/>
      <c r="F51" s="1391"/>
      <c r="G51" s="283"/>
      <c r="H51" s="104"/>
      <c r="I51" s="101"/>
      <c r="J51" s="104"/>
      <c r="K51" s="285" t="s">
        <v>116</v>
      </c>
      <c r="L51" s="137">
        <v>20</v>
      </c>
      <c r="M51" s="169">
        <v>50</v>
      </c>
      <c r="N51" s="217">
        <v>100</v>
      </c>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row>
    <row r="52" spans="1:48" s="8" customFormat="1" ht="17.25" customHeight="1" x14ac:dyDescent="0.2">
      <c r="A52" s="712"/>
      <c r="B52" s="713"/>
      <c r="C52" s="752"/>
      <c r="D52" s="1373" t="s">
        <v>184</v>
      </c>
      <c r="E52" s="1394" t="s">
        <v>138</v>
      </c>
      <c r="F52" s="714"/>
      <c r="G52" s="24"/>
      <c r="H52" s="260"/>
      <c r="I52" s="102"/>
      <c r="J52" s="260"/>
      <c r="K52" s="1516" t="s">
        <v>150</v>
      </c>
      <c r="L52" s="175">
        <v>100</v>
      </c>
      <c r="M52" s="459"/>
      <c r="N52" s="201"/>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row>
    <row r="53" spans="1:48" s="8" customFormat="1" ht="15" customHeight="1" x14ac:dyDescent="0.2">
      <c r="A53" s="712"/>
      <c r="B53" s="713"/>
      <c r="C53" s="752"/>
      <c r="D53" s="1398"/>
      <c r="E53" s="1573"/>
      <c r="F53" s="714"/>
      <c r="G53" s="24"/>
      <c r="H53" s="260"/>
      <c r="I53" s="102"/>
      <c r="J53" s="260"/>
      <c r="K53" s="1517"/>
      <c r="L53" s="77"/>
      <c r="M53" s="440"/>
      <c r="N53" s="217"/>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row>
    <row r="54" spans="1:48" s="8" customFormat="1" ht="15" customHeight="1" x14ac:dyDescent="0.2">
      <c r="A54" s="712"/>
      <c r="B54" s="713"/>
      <c r="C54" s="69"/>
      <c r="D54" s="1392" t="s">
        <v>132</v>
      </c>
      <c r="E54" s="1455"/>
      <c r="F54" s="1391"/>
      <c r="G54" s="58"/>
      <c r="H54" s="103"/>
      <c r="I54" s="103"/>
      <c r="J54" s="153"/>
      <c r="K54" s="751" t="s">
        <v>94</v>
      </c>
      <c r="L54" s="135">
        <v>1</v>
      </c>
      <c r="M54" s="168"/>
      <c r="N54" s="201"/>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row>
    <row r="55" spans="1:48" s="8" customFormat="1" ht="17.25" customHeight="1" x14ac:dyDescent="0.2">
      <c r="A55" s="712"/>
      <c r="B55" s="713"/>
      <c r="C55" s="743"/>
      <c r="D55" s="1393"/>
      <c r="E55" s="1435"/>
      <c r="F55" s="1391"/>
      <c r="G55" s="283"/>
      <c r="H55" s="104"/>
      <c r="I55" s="101"/>
      <c r="J55" s="104"/>
      <c r="K55" s="285" t="s">
        <v>117</v>
      </c>
      <c r="L55" s="137"/>
      <c r="M55" s="137">
        <v>20</v>
      </c>
      <c r="N55" s="217">
        <v>100</v>
      </c>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row>
    <row r="56" spans="1:48" s="8" customFormat="1" ht="15" customHeight="1" x14ac:dyDescent="0.2">
      <c r="A56" s="712"/>
      <c r="B56" s="713"/>
      <c r="C56" s="69"/>
      <c r="D56" s="1392" t="s">
        <v>197</v>
      </c>
      <c r="E56" s="1394" t="s">
        <v>102</v>
      </c>
      <c r="F56" s="1391"/>
      <c r="G56" s="24"/>
      <c r="H56" s="260"/>
      <c r="I56" s="102"/>
      <c r="J56" s="260"/>
      <c r="K56" s="717" t="s">
        <v>94</v>
      </c>
      <c r="L56" s="135">
        <v>1</v>
      </c>
      <c r="M56" s="167"/>
      <c r="N56" s="257"/>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row>
    <row r="57" spans="1:48" s="8" customFormat="1" ht="15.75" customHeight="1" x14ac:dyDescent="0.2">
      <c r="A57" s="712"/>
      <c r="B57" s="713"/>
      <c r="C57" s="743"/>
      <c r="D57" s="1393"/>
      <c r="E57" s="1395"/>
      <c r="F57" s="1391"/>
      <c r="G57" s="740"/>
      <c r="H57" s="260"/>
      <c r="I57" s="102"/>
      <c r="J57" s="260"/>
      <c r="K57" s="398" t="s">
        <v>198</v>
      </c>
      <c r="L57" s="137"/>
      <c r="M57" s="169"/>
      <c r="N57" s="217"/>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row>
    <row r="58" spans="1:48" s="8" customFormat="1" ht="13.5" customHeight="1" x14ac:dyDescent="0.2">
      <c r="A58" s="712"/>
      <c r="B58" s="713"/>
      <c r="C58" s="752"/>
      <c r="D58" s="1373" t="s">
        <v>134</v>
      </c>
      <c r="E58" s="1394" t="s">
        <v>138</v>
      </c>
      <c r="F58" s="714"/>
      <c r="G58" s="58" t="s">
        <v>49</v>
      </c>
      <c r="H58" s="103"/>
      <c r="I58" s="127"/>
      <c r="J58" s="103"/>
      <c r="K58" s="751" t="s">
        <v>94</v>
      </c>
      <c r="L58" s="168"/>
      <c r="M58" s="175"/>
      <c r="N58" s="201"/>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row>
    <row r="59" spans="1:48" s="8" customFormat="1" ht="26.25" customHeight="1" x14ac:dyDescent="0.2">
      <c r="A59" s="712"/>
      <c r="B59" s="713"/>
      <c r="C59" s="752"/>
      <c r="D59" s="1398"/>
      <c r="E59" s="1435"/>
      <c r="F59" s="714"/>
      <c r="G59" s="59"/>
      <c r="H59" s="104"/>
      <c r="I59" s="101"/>
      <c r="J59" s="104"/>
      <c r="K59" s="285" t="s">
        <v>116</v>
      </c>
      <c r="L59" s="137"/>
      <c r="M59" s="176"/>
      <c r="N59" s="217"/>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row>
    <row r="60" spans="1:48" s="8" customFormat="1" ht="19.5" customHeight="1" x14ac:dyDescent="0.2">
      <c r="A60" s="712"/>
      <c r="B60" s="713"/>
      <c r="C60" s="743"/>
      <c r="D60" s="1387" t="s">
        <v>240</v>
      </c>
      <c r="E60" s="1394" t="s">
        <v>138</v>
      </c>
      <c r="F60" s="714"/>
      <c r="G60" s="58"/>
      <c r="H60" s="103"/>
      <c r="I60" s="127"/>
      <c r="J60" s="103"/>
      <c r="K60" s="1444" t="s">
        <v>241</v>
      </c>
      <c r="L60" s="666"/>
      <c r="M60" s="203"/>
      <c r="N60" s="490">
        <v>30</v>
      </c>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row>
    <row r="61" spans="1:48" s="8" customFormat="1" ht="10.5" customHeight="1" x14ac:dyDescent="0.2">
      <c r="A61" s="712"/>
      <c r="B61" s="713"/>
      <c r="C61" s="743"/>
      <c r="D61" s="1436"/>
      <c r="E61" s="1437"/>
      <c r="F61" s="714"/>
      <c r="G61" s="59"/>
      <c r="H61" s="104"/>
      <c r="I61" s="101"/>
      <c r="J61" s="104"/>
      <c r="K61" s="1446"/>
      <c r="L61" s="667"/>
      <c r="M61" s="450"/>
      <c r="N61" s="554"/>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row>
    <row r="62" spans="1:48" s="8" customFormat="1" ht="16.5" customHeight="1" thickBot="1" x14ac:dyDescent="0.25">
      <c r="A62" s="759"/>
      <c r="B62" s="268"/>
      <c r="C62" s="33"/>
      <c r="D62" s="786"/>
      <c r="E62" s="787"/>
      <c r="F62" s="624"/>
      <c r="G62" s="35" t="s">
        <v>6</v>
      </c>
      <c r="H62" s="162">
        <f>SUM(H17:H61)</f>
        <v>1221.4000000000001</v>
      </c>
      <c r="I62" s="162">
        <f>SUM(I17:I61)</f>
        <v>1524.5</v>
      </c>
      <c r="J62" s="162">
        <f>SUM(J17:J61)</f>
        <v>1522.5</v>
      </c>
      <c r="K62" s="226"/>
      <c r="L62" s="41"/>
      <c r="M62" s="460"/>
      <c r="N62" s="411"/>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row>
    <row r="63" spans="1:48" s="8" customFormat="1" ht="12.75" customHeight="1" x14ac:dyDescent="0.2">
      <c r="A63" s="712" t="s">
        <v>5</v>
      </c>
      <c r="B63" s="721" t="s">
        <v>5</v>
      </c>
      <c r="C63" s="743" t="s">
        <v>7</v>
      </c>
      <c r="D63" s="1459" t="s">
        <v>53</v>
      </c>
      <c r="E63" s="777"/>
      <c r="F63" s="724" t="s">
        <v>27</v>
      </c>
      <c r="G63" s="183" t="s">
        <v>24</v>
      </c>
      <c r="H63" s="161">
        <f>3084.7+10-185</f>
        <v>2909.7</v>
      </c>
      <c r="I63" s="129">
        <f>3102.6-150+100</f>
        <v>3052.6</v>
      </c>
      <c r="J63" s="124">
        <v>3102.6</v>
      </c>
      <c r="K63" s="778"/>
      <c r="L63" s="779"/>
      <c r="M63" s="780"/>
      <c r="N63" s="781"/>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row>
    <row r="64" spans="1:48" s="8" customFormat="1" ht="12.75" customHeight="1" x14ac:dyDescent="0.2">
      <c r="A64" s="1019"/>
      <c r="B64" s="1021"/>
      <c r="C64" s="1022"/>
      <c r="D64" s="1459"/>
      <c r="E64" s="773"/>
      <c r="F64" s="1020"/>
      <c r="G64" s="1023" t="s">
        <v>58</v>
      </c>
      <c r="H64" s="946">
        <v>132.19999999999999</v>
      </c>
      <c r="I64" s="932"/>
      <c r="J64" s="260"/>
      <c r="K64" s="774"/>
      <c r="L64" s="775"/>
      <c r="M64" s="588"/>
      <c r="N64" s="776"/>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row>
    <row r="65" spans="1:48" s="8" customFormat="1" ht="12.75" customHeight="1" x14ac:dyDescent="0.2">
      <c r="A65" s="712"/>
      <c r="B65" s="721"/>
      <c r="C65" s="743"/>
      <c r="D65" s="1390"/>
      <c r="E65" s="773"/>
      <c r="F65" s="714"/>
      <c r="G65" s="740" t="s">
        <v>40</v>
      </c>
      <c r="H65" s="946">
        <v>2</v>
      </c>
      <c r="I65" s="734">
        <v>2</v>
      </c>
      <c r="J65" s="260">
        <v>2</v>
      </c>
      <c r="K65" s="782"/>
      <c r="L65" s="284"/>
      <c r="M65" s="262"/>
      <c r="N65" s="482"/>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row>
    <row r="66" spans="1:48" s="8" customFormat="1" ht="13.5" customHeight="1" x14ac:dyDescent="0.2">
      <c r="A66" s="712"/>
      <c r="B66" s="721"/>
      <c r="C66" s="743"/>
      <c r="D66" s="760"/>
      <c r="E66" s="773"/>
      <c r="F66" s="714"/>
      <c r="G66" s="740" t="s">
        <v>87</v>
      </c>
      <c r="H66" s="946">
        <v>1.8</v>
      </c>
      <c r="I66" s="734"/>
      <c r="J66" s="260"/>
      <c r="K66" s="774"/>
      <c r="L66" s="775"/>
      <c r="M66" s="588"/>
      <c r="N66" s="776"/>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row>
    <row r="67" spans="1:48" s="8" customFormat="1" ht="24.75" customHeight="1" x14ac:dyDescent="0.2">
      <c r="A67" s="1388"/>
      <c r="B67" s="1438"/>
      <c r="C67" s="1397"/>
      <c r="D67" s="1373" t="s">
        <v>68</v>
      </c>
      <c r="E67" s="1441"/>
      <c r="F67" s="1434"/>
      <c r="G67" s="7"/>
      <c r="H67" s="126"/>
      <c r="I67" s="110"/>
      <c r="J67" s="103"/>
      <c r="K67" s="702" t="s">
        <v>210</v>
      </c>
      <c r="L67" s="629">
        <v>8.6</v>
      </c>
      <c r="M67" s="630">
        <v>8.6</v>
      </c>
      <c r="N67" s="348">
        <v>8.6</v>
      </c>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row>
    <row r="68" spans="1:48" s="8" customFormat="1" ht="14.25" customHeight="1" x14ac:dyDescent="0.2">
      <c r="A68" s="1388"/>
      <c r="B68" s="1438"/>
      <c r="C68" s="1397"/>
      <c r="D68" s="1390"/>
      <c r="E68" s="1442"/>
      <c r="F68" s="1434"/>
      <c r="G68" s="740"/>
      <c r="H68" s="125"/>
      <c r="I68" s="734"/>
      <c r="J68" s="260"/>
      <c r="K68" s="631" t="s">
        <v>164</v>
      </c>
      <c r="L68" s="535">
        <v>445</v>
      </c>
      <c r="M68" s="535">
        <v>445</v>
      </c>
      <c r="N68" s="564">
        <v>445</v>
      </c>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row>
    <row r="69" spans="1:48" s="8" customFormat="1" ht="13.5" customHeight="1" x14ac:dyDescent="0.2">
      <c r="A69" s="1388"/>
      <c r="B69" s="1438"/>
      <c r="C69" s="1397"/>
      <c r="D69" s="1392" t="s">
        <v>37</v>
      </c>
      <c r="E69" s="738"/>
      <c r="F69" s="714"/>
      <c r="G69" s="1158"/>
      <c r="H69" s="125"/>
      <c r="I69" s="734"/>
      <c r="J69" s="260"/>
      <c r="K69" s="576" t="s">
        <v>39</v>
      </c>
      <c r="L69" s="80">
        <v>46</v>
      </c>
      <c r="M69" s="457">
        <v>46</v>
      </c>
      <c r="N69" s="443">
        <v>46</v>
      </c>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row>
    <row r="70" spans="1:48" s="8" customFormat="1" ht="13.5" customHeight="1" x14ac:dyDescent="0.2">
      <c r="A70" s="1388"/>
      <c r="B70" s="1438"/>
      <c r="C70" s="1397"/>
      <c r="D70" s="1460"/>
      <c r="E70" s="1156"/>
      <c r="F70" s="1155"/>
      <c r="G70" s="9"/>
      <c r="H70" s="125"/>
      <c r="I70" s="932"/>
      <c r="J70" s="260"/>
      <c r="K70" s="1168" t="s">
        <v>69</v>
      </c>
      <c r="L70" s="142">
        <v>1500</v>
      </c>
      <c r="M70" s="328">
        <v>1500</v>
      </c>
      <c r="N70" s="329">
        <v>1500</v>
      </c>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row>
    <row r="71" spans="1:48" s="8" customFormat="1" ht="41.25" customHeight="1" x14ac:dyDescent="0.2">
      <c r="A71" s="1388"/>
      <c r="B71" s="1438"/>
      <c r="C71" s="1397"/>
      <c r="D71" s="1460"/>
      <c r="E71" s="1163"/>
      <c r="F71" s="1161"/>
      <c r="G71" s="9"/>
      <c r="H71" s="125"/>
      <c r="I71" s="932"/>
      <c r="J71" s="260"/>
      <c r="K71" s="1173" t="s">
        <v>369</v>
      </c>
      <c r="L71" s="617">
        <v>1</v>
      </c>
      <c r="M71" s="199"/>
      <c r="N71" s="56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row>
    <row r="72" spans="1:48" s="8" customFormat="1" ht="27.75" customHeight="1" x14ac:dyDescent="0.2">
      <c r="A72" s="1388"/>
      <c r="B72" s="1438"/>
      <c r="C72" s="1397"/>
      <c r="D72" s="1460"/>
      <c r="E72" s="738"/>
      <c r="F72" s="714"/>
      <c r="G72" s="740"/>
      <c r="H72" s="125"/>
      <c r="I72" s="734"/>
      <c r="J72" s="260"/>
      <c r="K72" s="1165" t="s">
        <v>368</v>
      </c>
      <c r="L72" s="1143"/>
      <c r="M72" s="1142">
        <v>1</v>
      </c>
      <c r="N72" s="329"/>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row>
    <row r="73" spans="1:48" s="8" customFormat="1" ht="16.5" customHeight="1" x14ac:dyDescent="0.2">
      <c r="A73" s="712"/>
      <c r="B73" s="721"/>
      <c r="C73" s="743"/>
      <c r="D73" s="1392" t="s">
        <v>115</v>
      </c>
      <c r="E73" s="730"/>
      <c r="F73" s="714"/>
      <c r="G73" s="740"/>
      <c r="H73" s="125"/>
      <c r="I73" s="734"/>
      <c r="J73" s="260"/>
      <c r="K73" s="330" t="s">
        <v>142</v>
      </c>
      <c r="L73" s="783" t="s">
        <v>251</v>
      </c>
      <c r="M73" s="783" t="s">
        <v>251</v>
      </c>
      <c r="N73" s="784" t="s">
        <v>251</v>
      </c>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row>
    <row r="74" spans="1:48" s="8" customFormat="1" ht="36.75" customHeight="1" x14ac:dyDescent="0.2">
      <c r="A74" s="712"/>
      <c r="B74" s="721"/>
      <c r="C74" s="743"/>
      <c r="D74" s="1447"/>
      <c r="E74" s="730"/>
      <c r="F74" s="714"/>
      <c r="G74" s="740"/>
      <c r="H74" s="125"/>
      <c r="I74" s="734"/>
      <c r="J74" s="260"/>
      <c r="K74" s="130" t="s">
        <v>143</v>
      </c>
      <c r="L74" s="292" t="s">
        <v>112</v>
      </c>
      <c r="M74" s="292" t="s">
        <v>112</v>
      </c>
      <c r="N74" s="191" t="s">
        <v>112</v>
      </c>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row>
    <row r="75" spans="1:48" s="8" customFormat="1" ht="27.75" customHeight="1" x14ac:dyDescent="0.2">
      <c r="A75" s="712"/>
      <c r="B75" s="721"/>
      <c r="C75" s="743"/>
      <c r="D75" s="744" t="s">
        <v>57</v>
      </c>
      <c r="E75" s="730"/>
      <c r="F75" s="714"/>
      <c r="G75" s="740"/>
      <c r="H75" s="125"/>
      <c r="I75" s="734"/>
      <c r="J75" s="260"/>
      <c r="K75" s="319" t="s">
        <v>38</v>
      </c>
      <c r="L75" s="320">
        <v>11</v>
      </c>
      <c r="M75" s="320">
        <v>11</v>
      </c>
      <c r="N75" s="321">
        <v>11</v>
      </c>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row>
    <row r="76" spans="1:48" ht="27.75" customHeight="1" x14ac:dyDescent="0.2">
      <c r="A76" s="712"/>
      <c r="B76" s="721"/>
      <c r="C76" s="743"/>
      <c r="D76" s="744" t="s">
        <v>288</v>
      </c>
      <c r="E76" s="730"/>
      <c r="F76" s="747"/>
      <c r="G76" s="283"/>
      <c r="H76" s="100"/>
      <c r="I76" s="613"/>
      <c r="J76" s="104"/>
      <c r="K76" s="788" t="s">
        <v>250</v>
      </c>
      <c r="L76" s="34">
        <v>10</v>
      </c>
      <c r="M76" s="34">
        <v>100</v>
      </c>
      <c r="N76" s="198"/>
    </row>
    <row r="77" spans="1:48" s="8" customFormat="1" ht="16.5" customHeight="1" thickBot="1" x14ac:dyDescent="0.25">
      <c r="A77" s="741"/>
      <c r="B77" s="746"/>
      <c r="C77" s="752"/>
      <c r="D77" s="786"/>
      <c r="E77" s="787"/>
      <c r="F77" s="624"/>
      <c r="G77" s="35" t="s">
        <v>6</v>
      </c>
      <c r="H77" s="162">
        <f>SUM(H63:H76)</f>
        <v>3045.7</v>
      </c>
      <c r="I77" s="162">
        <f t="shared" ref="I77:J77" si="0">SUM(I63:I76)</f>
        <v>3054.6</v>
      </c>
      <c r="J77" s="162">
        <f t="shared" si="0"/>
        <v>3104.6</v>
      </c>
      <c r="K77" s="226"/>
      <c r="L77" s="41"/>
      <c r="M77" s="460"/>
      <c r="N77" s="411"/>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row>
    <row r="78" spans="1:48" ht="14.25" customHeight="1" x14ac:dyDescent="0.2">
      <c r="A78" s="718" t="s">
        <v>5</v>
      </c>
      <c r="B78" s="720" t="s">
        <v>5</v>
      </c>
      <c r="C78" s="236" t="s">
        <v>26</v>
      </c>
      <c r="D78" s="1452" t="s">
        <v>54</v>
      </c>
      <c r="E78" s="247"/>
      <c r="F78" s="724" t="s">
        <v>27</v>
      </c>
      <c r="G78" s="183" t="s">
        <v>24</v>
      </c>
      <c r="H78" s="124">
        <f>964.6-66.3</f>
        <v>898.3</v>
      </c>
      <c r="I78" s="124">
        <f>1067.6+70.8-150</f>
        <v>988.4</v>
      </c>
      <c r="J78" s="124">
        <v>958.3</v>
      </c>
      <c r="K78" s="785"/>
      <c r="L78" s="779"/>
      <c r="M78" s="780"/>
      <c r="N78" s="781"/>
    </row>
    <row r="79" spans="1:48" ht="13.5" customHeight="1" x14ac:dyDescent="0.2">
      <c r="A79" s="882"/>
      <c r="B79" s="884"/>
      <c r="C79" s="886"/>
      <c r="D79" s="1453"/>
      <c r="E79" s="246"/>
      <c r="F79" s="881"/>
      <c r="G79" s="887" t="s">
        <v>58</v>
      </c>
      <c r="H79" s="260">
        <v>36</v>
      </c>
      <c r="I79" s="260"/>
      <c r="J79" s="260"/>
      <c r="K79" s="885"/>
      <c r="L79" s="284"/>
      <c r="M79" s="262"/>
      <c r="N79" s="482"/>
    </row>
    <row r="80" spans="1:48" ht="13.5" customHeight="1" x14ac:dyDescent="0.2">
      <c r="A80" s="741"/>
      <c r="B80" s="742"/>
      <c r="C80" s="752"/>
      <c r="D80" s="1390"/>
      <c r="E80" s="246"/>
      <c r="F80" s="747"/>
      <c r="G80" s="765" t="s">
        <v>40</v>
      </c>
      <c r="H80" s="260">
        <v>32.700000000000003</v>
      </c>
      <c r="I80" s="260">
        <v>32.700000000000003</v>
      </c>
      <c r="J80" s="260">
        <v>32.700000000000003</v>
      </c>
      <c r="K80" s="761"/>
      <c r="L80" s="284"/>
      <c r="M80" s="262"/>
      <c r="N80" s="482"/>
    </row>
    <row r="81" spans="1:14" ht="12" customHeight="1" x14ac:dyDescent="0.2">
      <c r="A81" s="741"/>
      <c r="B81" s="742"/>
      <c r="C81" s="752"/>
      <c r="D81" s="1454"/>
      <c r="E81" s="793"/>
      <c r="F81" s="747"/>
      <c r="G81" s="765" t="s">
        <v>87</v>
      </c>
      <c r="H81" s="260">
        <v>2.6</v>
      </c>
      <c r="I81" s="680"/>
      <c r="J81" s="680"/>
      <c r="K81" s="148"/>
      <c r="L81" s="775"/>
      <c r="M81" s="588"/>
      <c r="N81" s="776"/>
    </row>
    <row r="82" spans="1:14" ht="24.75" customHeight="1" x14ac:dyDescent="0.2">
      <c r="A82" s="712"/>
      <c r="B82" s="721"/>
      <c r="C82" s="752"/>
      <c r="D82" s="1387" t="s">
        <v>327</v>
      </c>
      <c r="E82" s="1376" t="s">
        <v>65</v>
      </c>
      <c r="F82" s="714"/>
      <c r="G82" s="58"/>
      <c r="H82" s="103"/>
      <c r="I82" s="697"/>
      <c r="J82" s="697"/>
      <c r="K82" s="729" t="s">
        <v>296</v>
      </c>
      <c r="L82" s="203">
        <v>60</v>
      </c>
      <c r="M82" s="546">
        <v>80</v>
      </c>
      <c r="N82" s="490">
        <v>100</v>
      </c>
    </row>
    <row r="83" spans="1:14" ht="27" customHeight="1" x14ac:dyDescent="0.2">
      <c r="A83" s="712"/>
      <c r="B83" s="721"/>
      <c r="C83" s="752"/>
      <c r="D83" s="1390"/>
      <c r="E83" s="1455"/>
      <c r="F83" s="714"/>
      <c r="G83" s="24"/>
      <c r="H83" s="260"/>
      <c r="I83" s="680"/>
      <c r="J83" s="680"/>
      <c r="K83" s="699" t="s">
        <v>211</v>
      </c>
      <c r="L83" s="293">
        <v>4</v>
      </c>
      <c r="M83" s="465">
        <v>4</v>
      </c>
      <c r="N83" s="558">
        <v>4</v>
      </c>
    </row>
    <row r="84" spans="1:14" ht="11.25" customHeight="1" x14ac:dyDescent="0.2">
      <c r="A84" s="712"/>
      <c r="B84" s="721"/>
      <c r="C84" s="752"/>
      <c r="D84" s="750"/>
      <c r="E84" s="694"/>
      <c r="F84" s="714"/>
      <c r="G84" s="24"/>
      <c r="H84" s="260"/>
      <c r="I84" s="260"/>
      <c r="J84" s="260"/>
      <c r="K84" s="711" t="s">
        <v>175</v>
      </c>
      <c r="L84" s="139">
        <v>40</v>
      </c>
      <c r="M84" s="454">
        <v>40</v>
      </c>
      <c r="N84" s="483">
        <v>40</v>
      </c>
    </row>
    <row r="85" spans="1:14" ht="14.25" customHeight="1" x14ac:dyDescent="0.2">
      <c r="A85" s="712"/>
      <c r="B85" s="721"/>
      <c r="C85" s="752"/>
      <c r="D85" s="745"/>
      <c r="E85" s="694"/>
      <c r="F85" s="714"/>
      <c r="G85" s="24"/>
      <c r="H85" s="757"/>
      <c r="I85" s="754"/>
      <c r="J85" s="754"/>
      <c r="K85" s="17" t="s">
        <v>332</v>
      </c>
      <c r="L85" s="633">
        <v>15</v>
      </c>
      <c r="M85" s="633">
        <v>15</v>
      </c>
      <c r="N85" s="634">
        <v>15</v>
      </c>
    </row>
    <row r="86" spans="1:14" ht="27" customHeight="1" x14ac:dyDescent="0.2">
      <c r="A86" s="712"/>
      <c r="B86" s="721"/>
      <c r="C86" s="752"/>
      <c r="D86" s="789"/>
      <c r="E86" s="590"/>
      <c r="F86" s="591"/>
      <c r="G86" s="596"/>
      <c r="H86" s="260"/>
      <c r="I86" s="599"/>
      <c r="J86" s="599"/>
      <c r="K86" s="282" t="s">
        <v>333</v>
      </c>
      <c r="L86" s="333"/>
      <c r="M86" s="548">
        <v>1</v>
      </c>
      <c r="N86" s="556"/>
    </row>
    <row r="87" spans="1:14" ht="39" customHeight="1" x14ac:dyDescent="0.2">
      <c r="A87" s="712"/>
      <c r="B87" s="721"/>
      <c r="C87" s="752"/>
      <c r="D87" s="595"/>
      <c r="E87" s="590"/>
      <c r="F87" s="591"/>
      <c r="G87" s="596"/>
      <c r="H87" s="598"/>
      <c r="I87" s="599"/>
      <c r="J87" s="599"/>
      <c r="K87" s="709" t="s">
        <v>187</v>
      </c>
      <c r="L87" s="139"/>
      <c r="M87" s="454"/>
      <c r="N87" s="483"/>
    </row>
    <row r="88" spans="1:14" ht="12.95" customHeight="1" x14ac:dyDescent="0.2">
      <c r="A88" s="712"/>
      <c r="B88" s="721"/>
      <c r="C88" s="752"/>
      <c r="D88" s="745"/>
      <c r="E88" s="87"/>
      <c r="F88" s="747"/>
      <c r="G88" s="24"/>
      <c r="H88" s="260"/>
      <c r="I88" s="680"/>
      <c r="J88" s="680"/>
      <c r="K88" s="635" t="s">
        <v>200</v>
      </c>
      <c r="L88" s="293">
        <v>1</v>
      </c>
      <c r="M88" s="465"/>
      <c r="N88" s="558"/>
    </row>
    <row r="89" spans="1:14" ht="12.95" customHeight="1" x14ac:dyDescent="0.2">
      <c r="A89" s="712"/>
      <c r="B89" s="721"/>
      <c r="C89" s="752"/>
      <c r="D89" s="745"/>
      <c r="E89" s="87"/>
      <c r="F89" s="747"/>
      <c r="G89" s="24"/>
      <c r="H89" s="260"/>
      <c r="I89" s="680"/>
      <c r="J89" s="680"/>
      <c r="K89" s="430" t="s">
        <v>201</v>
      </c>
      <c r="L89" s="248"/>
      <c r="M89" s="464"/>
      <c r="N89" s="561">
        <v>3</v>
      </c>
    </row>
    <row r="90" spans="1:14" ht="12.95" customHeight="1" x14ac:dyDescent="0.2">
      <c r="A90" s="712"/>
      <c r="B90" s="721"/>
      <c r="C90" s="752"/>
      <c r="D90" s="745"/>
      <c r="E90" s="87"/>
      <c r="F90" s="747"/>
      <c r="G90" s="24"/>
      <c r="H90" s="260"/>
      <c r="I90" s="680"/>
      <c r="J90" s="680"/>
      <c r="K90" s="296" t="s">
        <v>202</v>
      </c>
      <c r="L90" s="139"/>
      <c r="M90" s="454"/>
      <c r="N90" s="483"/>
    </row>
    <row r="91" spans="1:14" ht="12.95" customHeight="1" x14ac:dyDescent="0.2">
      <c r="A91" s="712"/>
      <c r="B91" s="721"/>
      <c r="C91" s="752"/>
      <c r="D91" s="745"/>
      <c r="E91" s="87"/>
      <c r="F91" s="747"/>
      <c r="G91" s="24"/>
      <c r="H91" s="260"/>
      <c r="I91" s="680"/>
      <c r="J91" s="680"/>
      <c r="K91" s="739" t="s">
        <v>203</v>
      </c>
      <c r="L91" s="205"/>
      <c r="M91" s="463"/>
      <c r="N91" s="559"/>
    </row>
    <row r="92" spans="1:14" ht="12.75" customHeight="1" x14ac:dyDescent="0.2">
      <c r="A92" s="712"/>
      <c r="B92" s="721"/>
      <c r="C92" s="752"/>
      <c r="D92" s="745"/>
      <c r="E92" s="87"/>
      <c r="F92" s="747"/>
      <c r="G92" s="24"/>
      <c r="H92" s="260"/>
      <c r="I92" s="680"/>
      <c r="J92" s="680"/>
      <c r="K92" s="716" t="s">
        <v>199</v>
      </c>
      <c r="L92" s="248"/>
      <c r="M92" s="464"/>
      <c r="N92" s="561"/>
    </row>
    <row r="93" spans="1:14" ht="12.75" customHeight="1" x14ac:dyDescent="0.2">
      <c r="A93" s="712"/>
      <c r="B93" s="721"/>
      <c r="C93" s="752"/>
      <c r="D93" s="745"/>
      <c r="E93" s="87"/>
      <c r="F93" s="747"/>
      <c r="G93" s="24"/>
      <c r="H93" s="260"/>
      <c r="I93" s="680"/>
      <c r="J93" s="680"/>
      <c r="K93" s="885" t="s">
        <v>334</v>
      </c>
      <c r="L93" s="139"/>
      <c r="M93" s="454"/>
      <c r="N93" s="483"/>
    </row>
    <row r="94" spans="1:14" ht="27.75" customHeight="1" x14ac:dyDescent="0.2">
      <c r="A94" s="882"/>
      <c r="B94" s="884"/>
      <c r="C94" s="886"/>
      <c r="D94" s="883"/>
      <c r="E94" s="87"/>
      <c r="F94" s="881"/>
      <c r="G94" s="24"/>
      <c r="H94" s="260"/>
      <c r="I94" s="680"/>
      <c r="J94" s="680"/>
      <c r="K94" s="207" t="s">
        <v>317</v>
      </c>
      <c r="L94" s="396">
        <v>2</v>
      </c>
      <c r="M94" s="466"/>
      <c r="N94" s="632"/>
    </row>
    <row r="95" spans="1:14" ht="27" customHeight="1" x14ac:dyDescent="0.2">
      <c r="A95" s="712"/>
      <c r="B95" s="721"/>
      <c r="C95" s="743"/>
      <c r="D95" s="1373" t="s">
        <v>114</v>
      </c>
      <c r="E95" s="725"/>
      <c r="F95" s="747"/>
      <c r="G95" s="686"/>
      <c r="H95" s="103"/>
      <c r="I95" s="153"/>
      <c r="J95" s="153"/>
      <c r="K95" s="1444" t="s">
        <v>335</v>
      </c>
      <c r="L95" s="203">
        <v>1</v>
      </c>
      <c r="M95" s="546">
        <v>1</v>
      </c>
      <c r="N95" s="490">
        <v>1</v>
      </c>
    </row>
    <row r="96" spans="1:14" ht="22.5" customHeight="1" x14ac:dyDescent="0.2">
      <c r="A96" s="712"/>
      <c r="B96" s="721"/>
      <c r="C96" s="752"/>
      <c r="D96" s="1398"/>
      <c r="E96" s="727"/>
      <c r="F96" s="747"/>
      <c r="G96" s="22"/>
      <c r="H96" s="104"/>
      <c r="I96" s="152"/>
      <c r="J96" s="152"/>
      <c r="K96" s="1445"/>
      <c r="L96" s="77"/>
      <c r="M96" s="458"/>
      <c r="N96" s="197"/>
    </row>
    <row r="97" spans="1:15" ht="12.95" customHeight="1" x14ac:dyDescent="0.2">
      <c r="A97" s="712"/>
      <c r="B97" s="721"/>
      <c r="C97" s="752"/>
      <c r="D97" s="1373" t="s">
        <v>86</v>
      </c>
      <c r="E97" s="1450" t="s">
        <v>65</v>
      </c>
      <c r="F97" s="714"/>
      <c r="G97" s="765"/>
      <c r="H97" s="155"/>
      <c r="I97" s="154"/>
      <c r="J97" s="154"/>
      <c r="K97" s="345" t="s">
        <v>119</v>
      </c>
      <c r="L97" s="341">
        <v>22.5</v>
      </c>
      <c r="M97" s="790">
        <v>22.5</v>
      </c>
      <c r="N97" s="791">
        <v>22.5</v>
      </c>
    </row>
    <row r="98" spans="1:15" ht="12.95" customHeight="1" x14ac:dyDescent="0.2">
      <c r="A98" s="712"/>
      <c r="B98" s="721"/>
      <c r="C98" s="752"/>
      <c r="D98" s="1387"/>
      <c r="E98" s="1451"/>
      <c r="F98" s="714"/>
      <c r="G98" s="740"/>
      <c r="H98" s="260"/>
      <c r="I98" s="680"/>
      <c r="J98" s="680"/>
      <c r="K98" s="364" t="s">
        <v>120</v>
      </c>
      <c r="L98" s="365">
        <v>108</v>
      </c>
      <c r="M98" s="801">
        <v>108</v>
      </c>
      <c r="N98" s="802">
        <v>108</v>
      </c>
    </row>
    <row r="99" spans="1:15" ht="12.95" customHeight="1" x14ac:dyDescent="0.2">
      <c r="A99" s="712"/>
      <c r="B99" s="713"/>
      <c r="C99" s="743"/>
      <c r="D99" s="1387"/>
      <c r="E99" s="1451"/>
      <c r="F99" s="714"/>
      <c r="G99" s="740"/>
      <c r="H99" s="260"/>
      <c r="I99" s="680"/>
      <c r="J99" s="680"/>
      <c r="K99" s="389" t="s">
        <v>118</v>
      </c>
      <c r="L99" s="366">
        <v>5</v>
      </c>
      <c r="M99" s="468">
        <v>5</v>
      </c>
      <c r="N99" s="803">
        <v>5</v>
      </c>
    </row>
    <row r="100" spans="1:15" ht="15" customHeight="1" x14ac:dyDescent="0.2">
      <c r="A100" s="712"/>
      <c r="B100" s="721"/>
      <c r="C100" s="752"/>
      <c r="D100" s="1387"/>
      <c r="E100" s="1451"/>
      <c r="F100" s="714"/>
      <c r="G100" s="740"/>
      <c r="H100" s="260"/>
      <c r="I100" s="680"/>
      <c r="J100" s="680"/>
      <c r="K100" s="1456" t="s">
        <v>336</v>
      </c>
      <c r="L100" s="239">
        <v>1</v>
      </c>
      <c r="M100" s="324">
        <v>1</v>
      </c>
      <c r="N100" s="325">
        <v>1</v>
      </c>
    </row>
    <row r="101" spans="1:15" ht="12.75" customHeight="1" x14ac:dyDescent="0.2">
      <c r="A101" s="712"/>
      <c r="B101" s="721"/>
      <c r="C101" s="752"/>
      <c r="D101" s="397"/>
      <c r="E101" s="1451"/>
      <c r="F101" s="714"/>
      <c r="G101" s="765"/>
      <c r="H101" s="680"/>
      <c r="I101" s="680"/>
      <c r="J101" s="680"/>
      <c r="K101" s="1457"/>
      <c r="L101" s="804"/>
      <c r="M101" s="805"/>
      <c r="N101" s="350"/>
    </row>
    <row r="102" spans="1:15" ht="63.75" customHeight="1" x14ac:dyDescent="0.2">
      <c r="A102" s="741"/>
      <c r="B102" s="742"/>
      <c r="C102" s="752"/>
      <c r="D102" s="1387"/>
      <c r="E102" s="431"/>
      <c r="F102" s="747"/>
      <c r="G102" s="765"/>
      <c r="H102" s="260"/>
      <c r="I102" s="260"/>
      <c r="J102" s="260"/>
      <c r="K102" s="766" t="s">
        <v>337</v>
      </c>
      <c r="L102" s="81">
        <v>66</v>
      </c>
      <c r="M102" s="763">
        <v>64</v>
      </c>
      <c r="N102" s="536">
        <v>60</v>
      </c>
    </row>
    <row r="103" spans="1:15" ht="26.25" customHeight="1" x14ac:dyDescent="0.2">
      <c r="A103" s="741"/>
      <c r="B103" s="746"/>
      <c r="C103" s="743"/>
      <c r="D103" s="1458"/>
      <c r="E103" s="640"/>
      <c r="F103" s="639"/>
      <c r="G103" s="765"/>
      <c r="H103" s="260"/>
      <c r="I103" s="680"/>
      <c r="J103" s="260"/>
      <c r="K103" s="389" t="s">
        <v>254</v>
      </c>
      <c r="L103" s="366">
        <v>50</v>
      </c>
      <c r="M103" s="366">
        <v>100</v>
      </c>
      <c r="N103" s="675"/>
    </row>
    <row r="104" spans="1:15" ht="41.25" customHeight="1" x14ac:dyDescent="0.2">
      <c r="A104" s="741"/>
      <c r="B104" s="742"/>
      <c r="C104" s="752"/>
      <c r="D104" s="745"/>
      <c r="E104" s="640"/>
      <c r="F104" s="639"/>
      <c r="G104" s="765"/>
      <c r="H104" s="260"/>
      <c r="I104" s="680"/>
      <c r="J104" s="680"/>
      <c r="K104" s="794" t="s">
        <v>338</v>
      </c>
      <c r="L104" s="240"/>
      <c r="M104" s="240"/>
      <c r="N104" s="392">
        <v>100</v>
      </c>
    </row>
    <row r="105" spans="1:15" ht="27.75" customHeight="1" x14ac:dyDescent="0.2">
      <c r="A105" s="741"/>
      <c r="B105" s="742"/>
      <c r="C105" s="752"/>
      <c r="D105" s="397"/>
      <c r="E105" s="792"/>
      <c r="F105" s="747"/>
      <c r="G105" s="765"/>
      <c r="H105" s="260"/>
      <c r="I105" s="680"/>
      <c r="J105" s="680"/>
      <c r="K105" s="432" t="s">
        <v>315</v>
      </c>
      <c r="L105" s="284"/>
      <c r="M105" s="262"/>
      <c r="N105" s="482"/>
    </row>
    <row r="106" spans="1:15" ht="14.1" customHeight="1" x14ac:dyDescent="0.2">
      <c r="A106" s="712"/>
      <c r="B106" s="721"/>
      <c r="C106" s="752"/>
      <c r="D106" s="1387"/>
      <c r="E106" s="640"/>
      <c r="F106" s="639"/>
      <c r="G106" s="765"/>
      <c r="H106" s="260"/>
      <c r="I106" s="680"/>
      <c r="J106" s="680"/>
      <c r="K106" s="345" t="s">
        <v>119</v>
      </c>
      <c r="L106" s="343">
        <v>1</v>
      </c>
      <c r="M106" s="550">
        <v>1</v>
      </c>
      <c r="N106" s="491">
        <v>1</v>
      </c>
    </row>
    <row r="107" spans="1:15" ht="14.1" customHeight="1" x14ac:dyDescent="0.2">
      <c r="A107" s="712"/>
      <c r="B107" s="721"/>
      <c r="C107" s="752"/>
      <c r="D107" s="1387"/>
      <c r="E107" s="640"/>
      <c r="F107" s="639"/>
      <c r="G107" s="765"/>
      <c r="H107" s="260"/>
      <c r="I107" s="680"/>
      <c r="J107" s="680"/>
      <c r="K107" s="345" t="s">
        <v>313</v>
      </c>
      <c r="L107" s="343">
        <v>1</v>
      </c>
      <c r="M107" s="550"/>
      <c r="N107" s="491"/>
    </row>
    <row r="108" spans="1:15" ht="14.1" customHeight="1" x14ac:dyDescent="0.2">
      <c r="A108" s="712"/>
      <c r="B108" s="721"/>
      <c r="C108" s="752"/>
      <c r="D108" s="1390"/>
      <c r="E108" s="806"/>
      <c r="F108" s="639"/>
      <c r="G108" s="765"/>
      <c r="H108" s="260"/>
      <c r="I108" s="680"/>
      <c r="J108" s="680"/>
      <c r="K108" s="690" t="s">
        <v>314</v>
      </c>
      <c r="L108" s="382"/>
      <c r="M108" s="382">
        <v>1</v>
      </c>
      <c r="N108" s="691"/>
      <c r="O108" s="241"/>
    </row>
    <row r="109" spans="1:15" ht="13.5" customHeight="1" x14ac:dyDescent="0.2">
      <c r="A109" s="1388"/>
      <c r="B109" s="1396"/>
      <c r="C109" s="1397"/>
      <c r="D109" s="1373" t="s">
        <v>229</v>
      </c>
      <c r="E109" s="1448"/>
      <c r="F109" s="1434"/>
      <c r="G109" s="686"/>
      <c r="H109" s="103"/>
      <c r="I109" s="153"/>
      <c r="J109" s="153"/>
      <c r="K109" s="848" t="s">
        <v>139</v>
      </c>
      <c r="L109" s="81">
        <v>2</v>
      </c>
      <c r="M109" s="763">
        <v>2</v>
      </c>
      <c r="N109" s="536">
        <v>2</v>
      </c>
    </row>
    <row r="110" spans="1:15" ht="14.25" customHeight="1" x14ac:dyDescent="0.2">
      <c r="A110" s="1388"/>
      <c r="B110" s="1396"/>
      <c r="C110" s="1397"/>
      <c r="D110" s="1387"/>
      <c r="E110" s="1448"/>
      <c r="F110" s="1434"/>
      <c r="G110" s="765"/>
      <c r="H110" s="260"/>
      <c r="I110" s="680"/>
      <c r="J110" s="680"/>
      <c r="K110" s="848" t="s">
        <v>120</v>
      </c>
      <c r="L110" s="81">
        <v>5</v>
      </c>
      <c r="M110" s="763">
        <v>5</v>
      </c>
      <c r="N110" s="536">
        <v>5</v>
      </c>
    </row>
    <row r="111" spans="1:15" ht="12" customHeight="1" x14ac:dyDescent="0.2">
      <c r="A111" s="1388"/>
      <c r="B111" s="1396"/>
      <c r="C111" s="1397"/>
      <c r="D111" s="1398"/>
      <c r="E111" s="1449"/>
      <c r="F111" s="1434"/>
      <c r="G111" s="283"/>
      <c r="H111" s="104"/>
      <c r="I111" s="152"/>
      <c r="J111" s="152"/>
      <c r="K111" s="870"/>
      <c r="L111" s="77"/>
      <c r="M111" s="458"/>
      <c r="N111" s="197"/>
    </row>
    <row r="112" spans="1:15" ht="12.75" customHeight="1" x14ac:dyDescent="0.2">
      <c r="A112" s="712"/>
      <c r="B112" s="721"/>
      <c r="C112" s="743"/>
      <c r="D112" s="1387" t="s">
        <v>62</v>
      </c>
      <c r="E112" s="726"/>
      <c r="F112" s="714"/>
      <c r="G112" s="765"/>
      <c r="H112" s="260"/>
      <c r="I112" s="680"/>
      <c r="J112" s="680"/>
      <c r="K112" s="749" t="s">
        <v>119</v>
      </c>
      <c r="L112" s="34">
        <v>2</v>
      </c>
      <c r="M112" s="470">
        <v>2</v>
      </c>
      <c r="N112" s="198">
        <v>2</v>
      </c>
    </row>
    <row r="113" spans="1:48" ht="12.75" customHeight="1" x14ac:dyDescent="0.2">
      <c r="A113" s="712"/>
      <c r="B113" s="721"/>
      <c r="C113" s="752"/>
      <c r="D113" s="1387"/>
      <c r="E113" s="726"/>
      <c r="F113" s="714"/>
      <c r="G113" s="22"/>
      <c r="H113" s="104"/>
      <c r="I113" s="152"/>
      <c r="J113" s="152"/>
      <c r="K113" s="731"/>
      <c r="L113" s="81"/>
      <c r="M113" s="736"/>
      <c r="N113" s="536"/>
    </row>
    <row r="114" spans="1:48" s="8" customFormat="1" ht="16.5" customHeight="1" thickBot="1" x14ac:dyDescent="0.25">
      <c r="A114" s="741"/>
      <c r="B114" s="746"/>
      <c r="C114" s="752"/>
      <c r="D114" s="786"/>
      <c r="E114" s="787"/>
      <c r="F114" s="624"/>
      <c r="G114" s="35" t="s">
        <v>6</v>
      </c>
      <c r="H114" s="162">
        <f>SUM(H78:H113)</f>
        <v>969.6</v>
      </c>
      <c r="I114" s="162">
        <f>SUM(I78:I113)</f>
        <v>1021.1</v>
      </c>
      <c r="J114" s="162">
        <f>SUM(J78:J113)</f>
        <v>991</v>
      </c>
      <c r="K114" s="226"/>
      <c r="L114" s="41"/>
      <c r="M114" s="460"/>
      <c r="N114" s="411"/>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row>
    <row r="115" spans="1:48" s="8" customFormat="1" ht="18" customHeight="1" x14ac:dyDescent="0.2">
      <c r="A115" s="1468" t="s">
        <v>5</v>
      </c>
      <c r="B115" s="1469" t="s">
        <v>5</v>
      </c>
      <c r="C115" s="1470" t="s">
        <v>34</v>
      </c>
      <c r="D115" s="1452" t="s">
        <v>55</v>
      </c>
      <c r="E115" s="1472" t="s">
        <v>108</v>
      </c>
      <c r="F115" s="1474" t="s">
        <v>27</v>
      </c>
      <c r="G115" s="183" t="s">
        <v>24</v>
      </c>
      <c r="H115" s="161">
        <f>2165.1-8.4-28</f>
        <v>2128.6999999999998</v>
      </c>
      <c r="I115" s="129">
        <v>2361.8000000000002</v>
      </c>
      <c r="J115" s="129">
        <v>2399.1999999999998</v>
      </c>
      <c r="K115" s="1461"/>
      <c r="L115" s="42"/>
      <c r="M115" s="1462"/>
      <c r="N115" s="1464"/>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row>
    <row r="116" spans="1:48" s="8" customFormat="1" ht="15" customHeight="1" x14ac:dyDescent="0.2">
      <c r="A116" s="1388"/>
      <c r="B116" s="1438"/>
      <c r="C116" s="1397"/>
      <c r="D116" s="1471"/>
      <c r="E116" s="1473"/>
      <c r="F116" s="1434"/>
      <c r="G116" s="283" t="s">
        <v>58</v>
      </c>
      <c r="H116" s="614">
        <v>205.6</v>
      </c>
      <c r="I116" s="613"/>
      <c r="J116" s="613"/>
      <c r="K116" s="1372"/>
      <c r="L116" s="81"/>
      <c r="M116" s="1463"/>
      <c r="N116" s="1465"/>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row>
    <row r="117" spans="1:48" s="8" customFormat="1" ht="15.75" customHeight="1" x14ac:dyDescent="0.2">
      <c r="A117" s="1388"/>
      <c r="B117" s="1396"/>
      <c r="C117" s="1397"/>
      <c r="D117" s="1387" t="s">
        <v>99</v>
      </c>
      <c r="E117" s="1466" t="s">
        <v>67</v>
      </c>
      <c r="F117" s="1434"/>
      <c r="G117" s="686"/>
      <c r="H117" s="110"/>
      <c r="I117" s="110"/>
      <c r="J117" s="110"/>
      <c r="K117" s="731" t="s">
        <v>70</v>
      </c>
      <c r="L117" s="144">
        <v>16.899999999999999</v>
      </c>
      <c r="M117" s="471">
        <v>17.5</v>
      </c>
      <c r="N117" s="566">
        <v>18.2</v>
      </c>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row>
    <row r="118" spans="1:48" s="8" customFormat="1" ht="15.75" customHeight="1" x14ac:dyDescent="0.2">
      <c r="A118" s="1388"/>
      <c r="B118" s="1396"/>
      <c r="C118" s="1397"/>
      <c r="D118" s="1398"/>
      <c r="E118" s="1467"/>
      <c r="F118" s="1434"/>
      <c r="G118" s="283"/>
      <c r="H118" s="104"/>
      <c r="I118" s="613"/>
      <c r="J118" s="613"/>
      <c r="K118" s="225" t="s">
        <v>51</v>
      </c>
      <c r="L118" s="444">
        <v>9.4</v>
      </c>
      <c r="M118" s="444">
        <v>9.6999999999999993</v>
      </c>
      <c r="N118" s="641">
        <v>10.1</v>
      </c>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row>
    <row r="119" spans="1:48" s="8" customFormat="1" ht="15" customHeight="1" x14ac:dyDescent="0.2">
      <c r="A119" s="712"/>
      <c r="B119" s="721"/>
      <c r="C119" s="743"/>
      <c r="D119" s="1373" t="s">
        <v>165</v>
      </c>
      <c r="E119" s="725"/>
      <c r="F119" s="714"/>
      <c r="G119" s="740"/>
      <c r="H119" s="103"/>
      <c r="I119" s="103"/>
      <c r="J119" s="103"/>
      <c r="K119" s="710" t="s">
        <v>51</v>
      </c>
      <c r="L119" s="347">
        <v>0.4</v>
      </c>
      <c r="M119" s="347">
        <v>0.4</v>
      </c>
      <c r="N119" s="348">
        <v>0.4</v>
      </c>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row>
    <row r="120" spans="1:48" s="8" customFormat="1" ht="27" customHeight="1" x14ac:dyDescent="0.2">
      <c r="A120" s="712"/>
      <c r="B120" s="721"/>
      <c r="C120" s="743"/>
      <c r="D120" s="1387"/>
      <c r="E120" s="616"/>
      <c r="F120" s="714"/>
      <c r="G120" s="740"/>
      <c r="H120" s="260"/>
      <c r="I120" s="260"/>
      <c r="J120" s="260"/>
      <c r="K120" s="44" t="s">
        <v>325</v>
      </c>
      <c r="L120" s="617">
        <v>1206</v>
      </c>
      <c r="M120" s="617">
        <v>1206</v>
      </c>
      <c r="N120" s="563">
        <v>1206</v>
      </c>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row>
    <row r="121" spans="1:48" s="8" customFormat="1" ht="37.5" customHeight="1" x14ac:dyDescent="0.2">
      <c r="A121" s="897"/>
      <c r="B121" s="899"/>
      <c r="C121" s="898"/>
      <c r="D121" s="1387"/>
      <c r="E121" s="616"/>
      <c r="F121" s="896"/>
      <c r="G121" s="900"/>
      <c r="H121" s="260"/>
      <c r="I121" s="260"/>
      <c r="J121" s="260"/>
      <c r="K121" s="44" t="s">
        <v>326</v>
      </c>
      <c r="L121" s="902">
        <v>22.2</v>
      </c>
      <c r="M121" s="903">
        <v>22.2</v>
      </c>
      <c r="N121" s="904">
        <v>22.2</v>
      </c>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row>
    <row r="122" spans="1:48" s="8" customFormat="1" ht="26.25" customHeight="1" x14ac:dyDescent="0.2">
      <c r="A122" s="712"/>
      <c r="B122" s="721"/>
      <c r="C122" s="743"/>
      <c r="D122" s="1483"/>
      <c r="E122" s="732"/>
      <c r="F122" s="714"/>
      <c r="G122" s="283"/>
      <c r="H122" s="104"/>
      <c r="I122" s="104"/>
      <c r="J122" s="104"/>
      <c r="K122" s="618" t="s">
        <v>339</v>
      </c>
      <c r="L122" s="619">
        <v>3</v>
      </c>
      <c r="M122" s="77">
        <v>3</v>
      </c>
      <c r="N122" s="197">
        <v>3</v>
      </c>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row>
    <row r="123" spans="1:48" s="8" customFormat="1" ht="13.5" customHeight="1" x14ac:dyDescent="0.2">
      <c r="A123" s="712"/>
      <c r="B123" s="721"/>
      <c r="C123" s="857"/>
      <c r="D123" s="1373" t="s">
        <v>299</v>
      </c>
      <c r="E123" s="858"/>
      <c r="F123" s="714"/>
      <c r="G123" s="686"/>
      <c r="H123" s="103"/>
      <c r="I123" s="103"/>
      <c r="J123" s="103"/>
      <c r="K123" s="860"/>
      <c r="L123" s="579"/>
      <c r="M123" s="136"/>
      <c r="N123" s="198"/>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row>
    <row r="124" spans="1:48" s="8" customFormat="1" ht="12.75" customHeight="1" x14ac:dyDescent="0.2">
      <c r="A124" s="712"/>
      <c r="B124" s="721"/>
      <c r="C124" s="1061"/>
      <c r="D124" s="1484"/>
      <c r="E124" s="1062"/>
      <c r="F124" s="728"/>
      <c r="G124" s="849"/>
      <c r="H124" s="260"/>
      <c r="I124" s="260"/>
      <c r="J124" s="260"/>
      <c r="K124" s="1066"/>
      <c r="L124" s="417"/>
      <c r="M124" s="135"/>
      <c r="N124" s="536"/>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row>
    <row r="125" spans="1:48" s="8" customFormat="1" ht="13.5" customHeight="1" x14ac:dyDescent="0.2">
      <c r="A125" s="712"/>
      <c r="B125" s="721"/>
      <c r="C125" s="1485" t="s">
        <v>265</v>
      </c>
      <c r="D125" s="665" t="s">
        <v>340</v>
      </c>
      <c r="E125" s="1068"/>
      <c r="F125" s="1069"/>
      <c r="G125" s="360"/>
      <c r="H125" s="158"/>
      <c r="I125" s="159"/>
      <c r="J125" s="158"/>
      <c r="K125" s="1060" t="s">
        <v>278</v>
      </c>
      <c r="L125" s="1067">
        <v>9</v>
      </c>
      <c r="M125" s="573"/>
      <c r="N125" s="574"/>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row>
    <row r="126" spans="1:48" s="8" customFormat="1" ht="27" customHeight="1" x14ac:dyDescent="0.2">
      <c r="A126" s="712"/>
      <c r="B126" s="721"/>
      <c r="C126" s="1486"/>
      <c r="D126" s="665" t="s">
        <v>261</v>
      </c>
      <c r="E126" s="1062"/>
      <c r="F126" s="1063"/>
      <c r="G126" s="1065"/>
      <c r="H126" s="260"/>
      <c r="I126" s="932"/>
      <c r="J126" s="932"/>
      <c r="K126" s="1066" t="s">
        <v>264</v>
      </c>
      <c r="L126" s="417">
        <v>100</v>
      </c>
      <c r="M126" s="135"/>
      <c r="N126" s="536"/>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row>
    <row r="127" spans="1:48" s="8" customFormat="1" ht="24.75" customHeight="1" x14ac:dyDescent="0.2">
      <c r="A127" s="712"/>
      <c r="B127" s="721"/>
      <c r="C127" s="1486"/>
      <c r="D127" s="665" t="s">
        <v>277</v>
      </c>
      <c r="E127" s="1062"/>
      <c r="F127" s="1063"/>
      <c r="G127" s="1065"/>
      <c r="H127" s="260"/>
      <c r="I127" s="932"/>
      <c r="J127" s="932"/>
      <c r="K127" s="1066"/>
      <c r="L127" s="417"/>
      <c r="M127" s="417"/>
      <c r="N127" s="536"/>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row>
    <row r="128" spans="1:48" s="8" customFormat="1" ht="16.5" customHeight="1" x14ac:dyDescent="0.2">
      <c r="A128" s="712"/>
      <c r="B128" s="721"/>
      <c r="C128" s="1487"/>
      <c r="D128" s="679" t="s">
        <v>341</v>
      </c>
      <c r="E128" s="867"/>
      <c r="F128" s="869"/>
      <c r="G128" s="425"/>
      <c r="H128" s="105"/>
      <c r="I128" s="147"/>
      <c r="J128" s="105"/>
      <c r="K128" s="701"/>
      <c r="L128" s="868"/>
      <c r="M128" s="535"/>
      <c r="N128" s="564"/>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row>
    <row r="129" spans="1:48" s="8" customFormat="1" ht="15" customHeight="1" x14ac:dyDescent="0.2">
      <c r="A129" s="712"/>
      <c r="B129" s="721"/>
      <c r="C129" s="1485" t="s">
        <v>284</v>
      </c>
      <c r="D129" s="679" t="s">
        <v>259</v>
      </c>
      <c r="E129" s="856"/>
      <c r="F129" s="728"/>
      <c r="G129" s="861"/>
      <c r="H129" s="260"/>
      <c r="I129" s="859"/>
      <c r="J129" s="859"/>
      <c r="K129" s="1060" t="s">
        <v>278</v>
      </c>
      <c r="L129" s="1067"/>
      <c r="M129" s="1067">
        <v>2</v>
      </c>
      <c r="N129" s="574"/>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row>
    <row r="130" spans="1:48" s="8" customFormat="1" ht="15.75" customHeight="1" x14ac:dyDescent="0.2">
      <c r="A130" s="712"/>
      <c r="B130" s="721"/>
      <c r="C130" s="1486"/>
      <c r="D130" s="665" t="s">
        <v>262</v>
      </c>
      <c r="E130" s="730"/>
      <c r="F130" s="728"/>
      <c r="G130" s="740"/>
      <c r="H130" s="260"/>
      <c r="I130" s="734"/>
      <c r="J130" s="734"/>
      <c r="K130" s="1066" t="s">
        <v>264</v>
      </c>
      <c r="L130" s="417"/>
      <c r="M130" s="417">
        <v>50</v>
      </c>
      <c r="N130" s="438">
        <v>100</v>
      </c>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row>
    <row r="131" spans="1:48" s="8" customFormat="1" ht="26.25" customHeight="1" x14ac:dyDescent="0.2">
      <c r="A131" s="712"/>
      <c r="B131" s="721"/>
      <c r="C131" s="1486"/>
      <c r="D131" s="665" t="s">
        <v>344</v>
      </c>
      <c r="E131" s="730"/>
      <c r="F131" s="728"/>
      <c r="G131" s="1065"/>
      <c r="H131" s="260"/>
      <c r="I131" s="932"/>
      <c r="J131" s="260"/>
      <c r="K131" s="1066"/>
      <c r="L131" s="417"/>
      <c r="M131" s="417"/>
      <c r="N131" s="536"/>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row>
    <row r="132" spans="1:48" s="8" customFormat="1" ht="15" customHeight="1" x14ac:dyDescent="0.2">
      <c r="A132" s="1088"/>
      <c r="B132" s="1089"/>
      <c r="C132" s="1486"/>
      <c r="D132" s="679" t="s">
        <v>361</v>
      </c>
      <c r="E132" s="1090"/>
      <c r="F132" s="1091"/>
      <c r="G132" s="1093"/>
      <c r="H132" s="260"/>
      <c r="I132" s="932"/>
      <c r="J132" s="260"/>
      <c r="K132" s="1092"/>
      <c r="L132" s="417"/>
      <c r="M132" s="417"/>
      <c r="N132" s="536"/>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row>
    <row r="133" spans="1:48" s="8" customFormat="1" ht="26.25" customHeight="1" x14ac:dyDescent="0.2">
      <c r="A133" s="1088"/>
      <c r="B133" s="1089"/>
      <c r="C133" s="1486"/>
      <c r="D133" s="665" t="s">
        <v>362</v>
      </c>
      <c r="E133" s="1090"/>
      <c r="F133" s="1091"/>
      <c r="G133" s="1093"/>
      <c r="H133" s="260"/>
      <c r="I133" s="932"/>
      <c r="J133" s="260"/>
      <c r="K133" s="1092"/>
      <c r="L133" s="417"/>
      <c r="M133" s="417"/>
      <c r="N133" s="536"/>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row>
    <row r="134" spans="1:48" s="8" customFormat="1" ht="14.25" customHeight="1" x14ac:dyDescent="0.2">
      <c r="A134" s="712"/>
      <c r="B134" s="721"/>
      <c r="C134" s="1486"/>
      <c r="D134" s="1087" t="s">
        <v>360</v>
      </c>
      <c r="E134" s="730"/>
      <c r="F134" s="728"/>
      <c r="G134" s="283"/>
      <c r="H134" s="104"/>
      <c r="I134" s="613"/>
      <c r="J134" s="104"/>
      <c r="K134" s="1092"/>
      <c r="L134" s="417"/>
      <c r="M134" s="135"/>
      <c r="N134" s="536"/>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row>
    <row r="135" spans="1:48" s="8" customFormat="1" ht="16.5" customHeight="1" thickBot="1" x14ac:dyDescent="0.25">
      <c r="A135" s="741"/>
      <c r="B135" s="746"/>
      <c r="C135" s="752"/>
      <c r="D135" s="786"/>
      <c r="E135" s="787"/>
      <c r="F135" s="624"/>
      <c r="G135" s="35" t="s">
        <v>6</v>
      </c>
      <c r="H135" s="162">
        <f>SUM(H115:H134)</f>
        <v>2334.3000000000002</v>
      </c>
      <c r="I135" s="162">
        <f>SUM(I115:I134)</f>
        <v>2361.8000000000002</v>
      </c>
      <c r="J135" s="162">
        <f>SUM(J115:J134)</f>
        <v>2399.1999999999998</v>
      </c>
      <c r="K135" s="226"/>
      <c r="L135" s="41"/>
      <c r="M135" s="460"/>
      <c r="N135" s="411"/>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row>
    <row r="136" spans="1:48" s="8" customFormat="1" ht="13.5" customHeight="1" x14ac:dyDescent="0.2">
      <c r="A136" s="1468" t="s">
        <v>5</v>
      </c>
      <c r="B136" s="1469" t="s">
        <v>5</v>
      </c>
      <c r="C136" s="1470" t="s">
        <v>35</v>
      </c>
      <c r="D136" s="1478" t="s">
        <v>345</v>
      </c>
      <c r="E136" s="1480"/>
      <c r="F136" s="1488" t="s">
        <v>50</v>
      </c>
      <c r="G136" s="422" t="s">
        <v>24</v>
      </c>
      <c r="H136" s="124">
        <f>152.3-3-11.3</f>
        <v>138</v>
      </c>
      <c r="I136" s="129">
        <v>152.30000000000001</v>
      </c>
      <c r="J136" s="129">
        <v>152.30000000000001</v>
      </c>
      <c r="K136" s="1107" t="s">
        <v>121</v>
      </c>
      <c r="L136" s="42">
        <v>151</v>
      </c>
      <c r="M136" s="42">
        <v>151</v>
      </c>
      <c r="N136" s="567">
        <v>151</v>
      </c>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row>
    <row r="137" spans="1:48" s="8" customFormat="1" ht="14.25" customHeight="1" x14ac:dyDescent="0.2">
      <c r="A137" s="1388"/>
      <c r="B137" s="1438"/>
      <c r="C137" s="1397"/>
      <c r="D137" s="1387"/>
      <c r="E137" s="1481"/>
      <c r="F137" s="1489"/>
      <c r="G137" s="419" t="s">
        <v>58</v>
      </c>
      <c r="H137" s="104">
        <v>135.19999999999999</v>
      </c>
      <c r="I137" s="104"/>
      <c r="J137" s="104"/>
      <c r="K137" s="895" t="s">
        <v>363</v>
      </c>
      <c r="L137" s="81">
        <v>1</v>
      </c>
      <c r="M137" s="948"/>
      <c r="N137" s="536"/>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row>
    <row r="138" spans="1:48" s="8" customFormat="1" ht="16.5" customHeight="1" thickBot="1" x14ac:dyDescent="0.25">
      <c r="A138" s="1475"/>
      <c r="B138" s="1476"/>
      <c r="C138" s="1477"/>
      <c r="D138" s="1479"/>
      <c r="E138" s="1482"/>
      <c r="F138" s="1490"/>
      <c r="G138" s="35" t="s">
        <v>6</v>
      </c>
      <c r="H138" s="162">
        <f t="shared" ref="H138:I138" si="1">SUM(H136:H137)</f>
        <v>273.2</v>
      </c>
      <c r="I138" s="162">
        <f t="shared" si="1"/>
        <v>152.30000000000001</v>
      </c>
      <c r="J138" s="177">
        <f t="shared" ref="J138" si="2">SUM(J136:J136)</f>
        <v>152.30000000000001</v>
      </c>
      <c r="K138" s="226"/>
      <c r="L138" s="41"/>
      <c r="M138" s="460"/>
      <c r="N138" s="411"/>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row>
    <row r="139" spans="1:48" s="8" customFormat="1" ht="15.75" customHeight="1" x14ac:dyDescent="0.2">
      <c r="A139" s="1468" t="s">
        <v>5</v>
      </c>
      <c r="B139" s="1469" t="s">
        <v>5</v>
      </c>
      <c r="C139" s="1470" t="s">
        <v>28</v>
      </c>
      <c r="D139" s="1478" t="s">
        <v>343</v>
      </c>
      <c r="E139" s="1480"/>
      <c r="F139" s="1488" t="s">
        <v>50</v>
      </c>
      <c r="G139" s="422" t="s">
        <v>24</v>
      </c>
      <c r="H139" s="124">
        <v>16.8</v>
      </c>
      <c r="I139" s="124">
        <v>16.8</v>
      </c>
      <c r="J139" s="124">
        <v>16.8</v>
      </c>
      <c r="K139" s="1461" t="s">
        <v>342</v>
      </c>
      <c r="L139" s="42">
        <v>2</v>
      </c>
      <c r="M139" s="736">
        <v>2</v>
      </c>
      <c r="N139" s="536">
        <v>2</v>
      </c>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row>
    <row r="140" spans="1:48" s="8" customFormat="1" ht="13.5" customHeight="1" x14ac:dyDescent="0.2">
      <c r="A140" s="1388"/>
      <c r="B140" s="1438"/>
      <c r="C140" s="1397"/>
      <c r="D140" s="1387"/>
      <c r="E140" s="1481"/>
      <c r="F140" s="1489"/>
      <c r="G140" s="419"/>
      <c r="H140" s="104"/>
      <c r="I140" s="421"/>
      <c r="J140" s="421"/>
      <c r="K140" s="1496"/>
      <c r="L140" s="81"/>
      <c r="M140" s="736"/>
      <c r="N140" s="536"/>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row>
    <row r="141" spans="1:48" s="8" customFormat="1" ht="16.5" customHeight="1" thickBot="1" x14ac:dyDescent="0.25">
      <c r="A141" s="1475"/>
      <c r="B141" s="1476"/>
      <c r="C141" s="1477"/>
      <c r="D141" s="1479"/>
      <c r="E141" s="1482"/>
      <c r="F141" s="1490"/>
      <c r="G141" s="35" t="s">
        <v>6</v>
      </c>
      <c r="H141" s="162">
        <f>SUM(H139:H140)</f>
        <v>16.8</v>
      </c>
      <c r="I141" s="177">
        <f>SUM(I139:I140)</f>
        <v>16.8</v>
      </c>
      <c r="J141" s="177">
        <f>SUM(J139:J140)</f>
        <v>16.8</v>
      </c>
      <c r="K141" s="226"/>
      <c r="L141" s="41"/>
      <c r="M141" s="460"/>
      <c r="N141" s="411"/>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row>
    <row r="142" spans="1:48" s="8" customFormat="1" ht="14.1" customHeight="1" x14ac:dyDescent="0.2">
      <c r="A142" s="718" t="s">
        <v>5</v>
      </c>
      <c r="B142" s="720" t="s">
        <v>5</v>
      </c>
      <c r="C142" s="753" t="s">
        <v>36</v>
      </c>
      <c r="D142" s="1367" t="s">
        <v>144</v>
      </c>
      <c r="E142" s="227" t="s">
        <v>47</v>
      </c>
      <c r="F142" s="724" t="s">
        <v>46</v>
      </c>
      <c r="G142" s="686" t="s">
        <v>24</v>
      </c>
      <c r="H142" s="124">
        <v>145.1</v>
      </c>
      <c r="I142" s="124">
        <v>2426.4</v>
      </c>
      <c r="J142" s="124">
        <v>3076.3</v>
      </c>
      <c r="K142" s="1497"/>
      <c r="L142" s="122"/>
      <c r="M142" s="472"/>
      <c r="N142" s="195"/>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row>
    <row r="143" spans="1:48" s="8" customFormat="1" ht="14.1" customHeight="1" x14ac:dyDescent="0.2">
      <c r="A143" s="741"/>
      <c r="B143" s="742"/>
      <c r="C143" s="743"/>
      <c r="D143" s="1459"/>
      <c r="E143" s="261"/>
      <c r="F143" s="747"/>
      <c r="G143" s="765" t="s">
        <v>58</v>
      </c>
      <c r="H143" s="260">
        <v>753.9</v>
      </c>
      <c r="I143" s="260"/>
      <c r="J143" s="260"/>
      <c r="K143" s="1498"/>
      <c r="L143" s="123"/>
      <c r="M143" s="294"/>
      <c r="N143" s="196"/>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row>
    <row r="144" spans="1:48" s="8" customFormat="1" ht="14.1" customHeight="1" x14ac:dyDescent="0.2">
      <c r="A144" s="741"/>
      <c r="B144" s="742"/>
      <c r="C144" s="743"/>
      <c r="D144" s="1459"/>
      <c r="E144" s="261"/>
      <c r="F144" s="747"/>
      <c r="G144" s="765" t="s">
        <v>285</v>
      </c>
      <c r="H144" s="260">
        <f>142.1-85.4-10.5-45.3</f>
        <v>0.9</v>
      </c>
      <c r="I144" s="260">
        <f>368+85.4+10.5+45.3</f>
        <v>509.2</v>
      </c>
      <c r="J144" s="260">
        <v>245.8</v>
      </c>
      <c r="K144" s="1498"/>
      <c r="L144" s="123"/>
      <c r="M144" s="294"/>
      <c r="N144" s="196"/>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row>
    <row r="145" spans="1:48" s="8" customFormat="1" ht="14.1" customHeight="1" x14ac:dyDescent="0.2">
      <c r="A145" s="741"/>
      <c r="B145" s="742"/>
      <c r="C145" s="743"/>
      <c r="D145" s="1459"/>
      <c r="E145" s="261"/>
      <c r="F145" s="747"/>
      <c r="G145" s="765" t="s">
        <v>286</v>
      </c>
      <c r="H145" s="260">
        <f>1611.5-968.3-120.2-513.6</f>
        <v>9.4</v>
      </c>
      <c r="I145" s="260">
        <f>4169.2+968.3+120.2+513.6</f>
        <v>5771.3</v>
      </c>
      <c r="J145" s="260">
        <v>2784.9</v>
      </c>
      <c r="K145" s="1498"/>
      <c r="L145" s="123"/>
      <c r="M145" s="294"/>
      <c r="N145" s="196"/>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row>
    <row r="146" spans="1:48" s="8" customFormat="1" ht="14.1" customHeight="1" x14ac:dyDescent="0.2">
      <c r="A146" s="741"/>
      <c r="B146" s="742"/>
      <c r="C146" s="743"/>
      <c r="D146" s="1459"/>
      <c r="E146" s="261"/>
      <c r="F146" s="747"/>
      <c r="G146" s="765" t="s">
        <v>48</v>
      </c>
      <c r="H146" s="260">
        <v>737.4</v>
      </c>
      <c r="I146" s="260">
        <v>2382.8000000000002</v>
      </c>
      <c r="J146" s="260">
        <v>4897.1000000000004</v>
      </c>
      <c r="K146" s="1498"/>
      <c r="L146" s="123"/>
      <c r="M146" s="294"/>
      <c r="N146" s="196"/>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row>
    <row r="147" spans="1:48" s="8" customFormat="1" ht="14.1" customHeight="1" x14ac:dyDescent="0.2">
      <c r="A147" s="712"/>
      <c r="B147" s="721"/>
      <c r="C147" s="743"/>
      <c r="D147" s="1459"/>
      <c r="E147" s="726"/>
      <c r="F147" s="714"/>
      <c r="G147" s="765" t="s">
        <v>188</v>
      </c>
      <c r="H147" s="260">
        <v>65.099999999999994</v>
      </c>
      <c r="I147" s="260">
        <v>210.3</v>
      </c>
      <c r="J147" s="260">
        <v>432.1</v>
      </c>
      <c r="K147" s="1498"/>
      <c r="L147" s="123"/>
      <c r="M147" s="294"/>
      <c r="N147" s="196"/>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row>
    <row r="148" spans="1:48" s="8" customFormat="1" ht="14.1" customHeight="1" x14ac:dyDescent="0.2">
      <c r="A148" s="1118"/>
      <c r="B148" s="1121"/>
      <c r="C148" s="1119"/>
      <c r="D148" s="1123"/>
      <c r="E148" s="1122"/>
      <c r="F148" s="1120"/>
      <c r="G148" s="1125" t="s">
        <v>49</v>
      </c>
      <c r="H148" s="260"/>
      <c r="I148" s="260">
        <v>937.3</v>
      </c>
      <c r="J148" s="260">
        <v>937.3</v>
      </c>
      <c r="K148" s="1124"/>
      <c r="L148" s="123"/>
      <c r="M148" s="294"/>
      <c r="N148" s="196"/>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row>
    <row r="149" spans="1:48" s="8" customFormat="1" ht="16.5" customHeight="1" x14ac:dyDescent="0.2">
      <c r="A149" s="712"/>
      <c r="B149" s="721"/>
      <c r="C149" s="743"/>
      <c r="D149" s="1373" t="s">
        <v>159</v>
      </c>
      <c r="E149" s="1491" t="s">
        <v>95</v>
      </c>
      <c r="F149" s="1434"/>
      <c r="G149" s="686"/>
      <c r="H149" s="103"/>
      <c r="I149" s="103"/>
      <c r="J149" s="103"/>
      <c r="K149" s="729" t="s">
        <v>94</v>
      </c>
      <c r="L149" s="34">
        <v>1</v>
      </c>
      <c r="M149" s="136"/>
      <c r="N149" s="198"/>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row>
    <row r="150" spans="1:48" s="8" customFormat="1" ht="13.5" customHeight="1" x14ac:dyDescent="0.2">
      <c r="A150" s="712"/>
      <c r="B150" s="721"/>
      <c r="C150" s="743"/>
      <c r="D150" s="1387"/>
      <c r="E150" s="1492"/>
      <c r="F150" s="1434"/>
      <c r="G150" s="740"/>
      <c r="H150" s="260"/>
      <c r="I150" s="260"/>
      <c r="J150" s="260"/>
      <c r="K150" s="815" t="s">
        <v>122</v>
      </c>
      <c r="L150" s="81"/>
      <c r="M150" s="135">
        <v>30</v>
      </c>
      <c r="N150" s="536">
        <v>60</v>
      </c>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row>
    <row r="151" spans="1:48" s="8" customFormat="1" ht="12" customHeight="1" x14ac:dyDescent="0.2">
      <c r="A151" s="712"/>
      <c r="B151" s="721"/>
      <c r="C151" s="743"/>
      <c r="D151" s="1398"/>
      <c r="E151" s="1493"/>
      <c r="F151" s="1434"/>
      <c r="G151" s="283"/>
      <c r="H151" s="104"/>
      <c r="I151" s="104"/>
      <c r="J151" s="104"/>
      <c r="K151" s="767"/>
      <c r="L151" s="77"/>
      <c r="M151" s="137"/>
      <c r="N151" s="197"/>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row>
    <row r="152" spans="1:48" s="8" customFormat="1" ht="14.25" customHeight="1" x14ac:dyDescent="0.2">
      <c r="A152" s="712"/>
      <c r="B152" s="721"/>
      <c r="C152" s="743"/>
      <c r="D152" s="1373" t="s">
        <v>194</v>
      </c>
      <c r="E152" s="1494" t="s">
        <v>64</v>
      </c>
      <c r="F152" s="1434"/>
      <c r="G152" s="686"/>
      <c r="H152" s="103"/>
      <c r="I152" s="103"/>
      <c r="J152" s="103"/>
      <c r="K152" s="827" t="s">
        <v>94</v>
      </c>
      <c r="L152" s="34">
        <v>1</v>
      </c>
      <c r="M152" s="136"/>
      <c r="N152" s="198"/>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row>
    <row r="153" spans="1:48" s="8" customFormat="1" ht="13.5" customHeight="1" x14ac:dyDescent="0.2">
      <c r="A153" s="712"/>
      <c r="B153" s="721"/>
      <c r="C153" s="743"/>
      <c r="D153" s="1387"/>
      <c r="E153" s="1495"/>
      <c r="F153" s="1434"/>
      <c r="G153" s="740"/>
      <c r="H153" s="164"/>
      <c r="I153" s="260"/>
      <c r="J153" s="260"/>
      <c r="K153" s="1502" t="s">
        <v>123</v>
      </c>
      <c r="L153" s="81"/>
      <c r="M153" s="135">
        <v>50</v>
      </c>
      <c r="N153" s="536">
        <v>100</v>
      </c>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row>
    <row r="154" spans="1:48" s="8" customFormat="1" ht="8.25" customHeight="1" x14ac:dyDescent="0.2">
      <c r="A154" s="712"/>
      <c r="B154" s="721"/>
      <c r="C154" s="743"/>
      <c r="D154" s="1387"/>
      <c r="E154" s="1495"/>
      <c r="F154" s="1434"/>
      <c r="G154" s="740"/>
      <c r="H154" s="260"/>
      <c r="I154" s="260"/>
      <c r="J154" s="260"/>
      <c r="K154" s="1502"/>
      <c r="L154" s="81"/>
      <c r="M154" s="135"/>
      <c r="N154" s="536"/>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row>
    <row r="155" spans="1:48" s="8" customFormat="1" ht="9" customHeight="1" x14ac:dyDescent="0.2">
      <c r="A155" s="712"/>
      <c r="B155" s="721"/>
      <c r="C155" s="743"/>
      <c r="D155" s="1387"/>
      <c r="E155" s="1495"/>
      <c r="F155" s="1434"/>
      <c r="G155" s="740"/>
      <c r="H155" s="260"/>
      <c r="I155" s="260"/>
      <c r="J155" s="260"/>
      <c r="K155" s="1505"/>
      <c r="L155" s="81"/>
      <c r="M155" s="135"/>
      <c r="N155" s="536"/>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row>
    <row r="156" spans="1:48" s="8" customFormat="1" ht="15.75" customHeight="1" x14ac:dyDescent="0.2">
      <c r="A156" s="712"/>
      <c r="B156" s="721"/>
      <c r="C156" s="743"/>
      <c r="D156" s="1373" t="s">
        <v>346</v>
      </c>
      <c r="E156" s="1504" t="s">
        <v>301</v>
      </c>
      <c r="F156" s="1434"/>
      <c r="G156" s="686"/>
      <c r="H156" s="103"/>
      <c r="I156" s="103"/>
      <c r="J156" s="103"/>
      <c r="K156" s="909" t="s">
        <v>94</v>
      </c>
      <c r="L156" s="34">
        <v>1</v>
      </c>
      <c r="M156" s="136"/>
      <c r="N156" s="198"/>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row>
    <row r="157" spans="1:48" s="8" customFormat="1" ht="16.5" customHeight="1" x14ac:dyDescent="0.2">
      <c r="A157" s="712"/>
      <c r="B157" s="721"/>
      <c r="C157" s="743"/>
      <c r="D157" s="1387"/>
      <c r="E157" s="1501"/>
      <c r="F157" s="1434"/>
      <c r="G157" s="740"/>
      <c r="H157" s="260"/>
      <c r="I157" s="260"/>
      <c r="J157" s="260"/>
      <c r="K157" s="1366" t="s">
        <v>124</v>
      </c>
      <c r="L157" s="81">
        <v>5</v>
      </c>
      <c r="M157" s="135">
        <v>35</v>
      </c>
      <c r="N157" s="536">
        <v>100</v>
      </c>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row>
    <row r="158" spans="1:48" s="8" customFormat="1" ht="12" customHeight="1" x14ac:dyDescent="0.2">
      <c r="A158" s="712"/>
      <c r="B158" s="721"/>
      <c r="C158" s="743"/>
      <c r="D158" s="1387"/>
      <c r="E158" s="1501"/>
      <c r="F158" s="1434"/>
      <c r="G158" s="740"/>
      <c r="H158" s="260"/>
      <c r="I158" s="260"/>
      <c r="J158" s="260"/>
      <c r="K158" s="1366"/>
      <c r="L158" s="81"/>
      <c r="M158" s="135"/>
      <c r="N158" s="536"/>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row>
    <row r="159" spans="1:48" s="8" customFormat="1" ht="19.5" customHeight="1" x14ac:dyDescent="0.2">
      <c r="A159" s="712"/>
      <c r="B159" s="721"/>
      <c r="C159" s="743"/>
      <c r="D159" s="1398"/>
      <c r="E159" s="1506"/>
      <c r="F159" s="1434"/>
      <c r="G159" s="22"/>
      <c r="H159" s="104"/>
      <c r="I159" s="104"/>
      <c r="J159" s="104"/>
      <c r="K159" s="285"/>
      <c r="L159" s="77"/>
      <c r="M159" s="137"/>
      <c r="N159" s="197"/>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row>
    <row r="160" spans="1:48" s="8" customFormat="1" ht="15" customHeight="1" x14ac:dyDescent="0.2">
      <c r="A160" s="712"/>
      <c r="B160" s="721"/>
      <c r="C160" s="743"/>
      <c r="D160" s="1499" t="s">
        <v>223</v>
      </c>
      <c r="E160" s="1501" t="s">
        <v>303</v>
      </c>
      <c r="F160" s="714"/>
      <c r="G160" s="164"/>
      <c r="H160" s="164"/>
      <c r="I160" s="164"/>
      <c r="J160" s="164"/>
      <c r="K160" s="717" t="s">
        <v>94</v>
      </c>
      <c r="L160" s="135">
        <v>1</v>
      </c>
      <c r="M160" s="135"/>
      <c r="N160" s="536"/>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row>
    <row r="161" spans="1:48" s="8" customFormat="1" ht="13.5" customHeight="1" x14ac:dyDescent="0.2">
      <c r="A161" s="712"/>
      <c r="B161" s="721"/>
      <c r="C161" s="743"/>
      <c r="D161" s="1499"/>
      <c r="E161" s="1501"/>
      <c r="F161" s="714"/>
      <c r="G161" s="164"/>
      <c r="H161" s="164"/>
      <c r="I161" s="164"/>
      <c r="J161" s="164"/>
      <c r="K161" s="1502" t="s">
        <v>212</v>
      </c>
      <c r="L161" s="135"/>
      <c r="M161" s="135">
        <v>50</v>
      </c>
      <c r="N161" s="536">
        <v>100</v>
      </c>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row>
    <row r="162" spans="1:48" s="8" customFormat="1" ht="15" customHeight="1" x14ac:dyDescent="0.2">
      <c r="A162" s="712"/>
      <c r="B162" s="721"/>
      <c r="C162" s="743"/>
      <c r="D162" s="1500"/>
      <c r="E162" s="1395"/>
      <c r="F162" s="1434"/>
      <c r="G162" s="165"/>
      <c r="H162" s="104"/>
      <c r="I162" s="104"/>
      <c r="J162" s="104"/>
      <c r="K162" s="1503"/>
      <c r="L162" s="194"/>
      <c r="M162" s="137"/>
      <c r="N162" s="197"/>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row>
    <row r="163" spans="1:48" s="8" customFormat="1" ht="15" customHeight="1" x14ac:dyDescent="0.2">
      <c r="A163" s="712"/>
      <c r="B163" s="721"/>
      <c r="C163" s="743"/>
      <c r="D163" s="1373" t="s">
        <v>158</v>
      </c>
      <c r="E163" s="1504" t="s">
        <v>95</v>
      </c>
      <c r="F163" s="1434"/>
      <c r="G163" s="164"/>
      <c r="H163" s="164"/>
      <c r="I163" s="164"/>
      <c r="J163" s="164"/>
      <c r="K163" s="823" t="s">
        <v>94</v>
      </c>
      <c r="L163" s="135">
        <v>1</v>
      </c>
      <c r="M163" s="135"/>
      <c r="N163" s="536"/>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row>
    <row r="164" spans="1:48" s="8" customFormat="1" ht="11.25" customHeight="1" x14ac:dyDescent="0.2">
      <c r="A164" s="712"/>
      <c r="B164" s="721"/>
      <c r="C164" s="743"/>
      <c r="D164" s="1387"/>
      <c r="E164" s="1501"/>
      <c r="F164" s="1434"/>
      <c r="G164" s="164"/>
      <c r="H164" s="164"/>
      <c r="I164" s="164"/>
      <c r="J164" s="164"/>
      <c r="K164" s="1502" t="s">
        <v>154</v>
      </c>
      <c r="L164" s="135"/>
      <c r="M164" s="135">
        <v>100</v>
      </c>
      <c r="N164" s="536"/>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row>
    <row r="165" spans="1:48" s="8" customFormat="1" ht="17.25" customHeight="1" x14ac:dyDescent="0.2">
      <c r="A165" s="712"/>
      <c r="B165" s="721"/>
      <c r="C165" s="743"/>
      <c r="D165" s="1398"/>
      <c r="E165" s="1501"/>
      <c r="F165" s="1434"/>
      <c r="G165" s="165"/>
      <c r="H165" s="104"/>
      <c r="I165" s="104"/>
      <c r="J165" s="104"/>
      <c r="K165" s="1503"/>
      <c r="L165" s="137"/>
      <c r="M165" s="137"/>
      <c r="N165" s="197"/>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row>
    <row r="166" spans="1:48" s="8" customFormat="1" ht="13.5" customHeight="1" x14ac:dyDescent="0.2">
      <c r="A166" s="712"/>
      <c r="B166" s="721"/>
      <c r="C166" s="743"/>
      <c r="D166" s="1507" t="s">
        <v>160</v>
      </c>
      <c r="E166" s="1504" t="s">
        <v>95</v>
      </c>
      <c r="F166" s="1434"/>
      <c r="G166" s="164"/>
      <c r="H166" s="260"/>
      <c r="I166" s="103"/>
      <c r="J166" s="103"/>
      <c r="K166" s="717" t="s">
        <v>94</v>
      </c>
      <c r="L166" s="167">
        <v>1</v>
      </c>
      <c r="M166" s="135"/>
      <c r="N166" s="536"/>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row>
    <row r="167" spans="1:48" s="8" customFormat="1" ht="18" customHeight="1" x14ac:dyDescent="0.2">
      <c r="A167" s="712"/>
      <c r="B167" s="721"/>
      <c r="C167" s="743"/>
      <c r="D167" s="1508"/>
      <c r="E167" s="1501"/>
      <c r="F167" s="1434"/>
      <c r="G167" s="164"/>
      <c r="H167" s="260"/>
      <c r="I167" s="138"/>
      <c r="J167" s="138"/>
      <c r="K167" s="1502" t="s">
        <v>183</v>
      </c>
      <c r="L167" s="135">
        <v>40</v>
      </c>
      <c r="M167" s="135">
        <v>90</v>
      </c>
      <c r="N167" s="536">
        <v>100</v>
      </c>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row>
    <row r="168" spans="1:48" s="8" customFormat="1" ht="14.25" customHeight="1" x14ac:dyDescent="0.2">
      <c r="A168" s="712"/>
      <c r="B168" s="721"/>
      <c r="C168" s="743"/>
      <c r="D168" s="1509"/>
      <c r="E168" s="1506"/>
      <c r="F168" s="728"/>
      <c r="G168" s="165"/>
      <c r="H168" s="104"/>
      <c r="I168" s="104"/>
      <c r="J168" s="104"/>
      <c r="K168" s="1503"/>
      <c r="L168" s="137"/>
      <c r="M168" s="137"/>
      <c r="N168" s="197"/>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row>
    <row r="169" spans="1:48" s="8" customFormat="1" ht="18" customHeight="1" x14ac:dyDescent="0.2">
      <c r="A169" s="712"/>
      <c r="B169" s="721"/>
      <c r="C169" s="743"/>
      <c r="D169" s="1510" t="s">
        <v>214</v>
      </c>
      <c r="E169" s="1494" t="s">
        <v>318</v>
      </c>
      <c r="F169" s="416"/>
      <c r="G169" s="164"/>
      <c r="H169" s="260"/>
      <c r="I169" s="387"/>
      <c r="J169" s="387"/>
      <c r="K169" s="330" t="s">
        <v>94</v>
      </c>
      <c r="L169" s="361"/>
      <c r="M169" s="864" t="s">
        <v>189</v>
      </c>
      <c r="N169" s="865"/>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row>
    <row r="170" spans="1:48" s="8" customFormat="1" ht="31.5" customHeight="1" x14ac:dyDescent="0.2">
      <c r="A170" s="712"/>
      <c r="B170" s="721"/>
      <c r="C170" s="743"/>
      <c r="D170" s="1390"/>
      <c r="E170" s="1455"/>
      <c r="F170" s="747"/>
      <c r="G170" s="165"/>
      <c r="H170" s="104"/>
      <c r="I170" s="104"/>
      <c r="J170" s="283"/>
      <c r="K170" s="618" t="s">
        <v>191</v>
      </c>
      <c r="L170" s="363"/>
      <c r="M170" s="552">
        <v>70</v>
      </c>
      <c r="N170" s="568">
        <v>100</v>
      </c>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row>
    <row r="171" spans="1:48" s="8" customFormat="1" ht="18" customHeight="1" x14ac:dyDescent="0.2">
      <c r="A171" s="851"/>
      <c r="B171" s="853"/>
      <c r="C171" s="852"/>
      <c r="D171" s="1510" t="s">
        <v>213</v>
      </c>
      <c r="E171" s="1455"/>
      <c r="F171" s="416"/>
      <c r="G171" s="164"/>
      <c r="H171" s="260"/>
      <c r="I171" s="387"/>
      <c r="J171" s="387"/>
      <c r="K171" s="1516" t="s">
        <v>365</v>
      </c>
      <c r="L171" s="362">
        <v>1</v>
      </c>
      <c r="M171" s="456"/>
      <c r="N171" s="485"/>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row>
    <row r="172" spans="1:48" s="8" customFormat="1" ht="18" customHeight="1" x14ac:dyDescent="0.2">
      <c r="A172" s="851"/>
      <c r="B172" s="853"/>
      <c r="C172" s="852"/>
      <c r="D172" s="1390"/>
      <c r="E172" s="854"/>
      <c r="F172" s="850"/>
      <c r="G172" s="165"/>
      <c r="H172" s="104"/>
      <c r="I172" s="104"/>
      <c r="J172" s="283"/>
      <c r="K172" s="1517"/>
      <c r="L172" s="399"/>
      <c r="M172" s="456"/>
      <c r="N172" s="485"/>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row>
    <row r="173" spans="1:48" s="8" customFormat="1" ht="16.5" customHeight="1" thickBot="1" x14ac:dyDescent="0.25">
      <c r="A173" s="26"/>
      <c r="B173" s="742"/>
      <c r="C173" s="752"/>
      <c r="D173" s="807"/>
      <c r="E173" s="447"/>
      <c r="F173" s="69"/>
      <c r="G173" s="35" t="s">
        <v>6</v>
      </c>
      <c r="H173" s="162">
        <f>SUM(H142:H170)</f>
        <v>1711.8</v>
      </c>
      <c r="I173" s="162">
        <f>SUM(I142:I170)</f>
        <v>12237.3</v>
      </c>
      <c r="J173" s="162">
        <f>SUM(J142:J170)</f>
        <v>12373.5</v>
      </c>
      <c r="K173" s="226"/>
      <c r="L173" s="41"/>
      <c r="M173" s="460"/>
      <c r="N173" s="411"/>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row>
    <row r="174" spans="1:48" s="8" customFormat="1" ht="29.25" customHeight="1" x14ac:dyDescent="0.2">
      <c r="A174" s="718" t="s">
        <v>5</v>
      </c>
      <c r="B174" s="720" t="s">
        <v>5</v>
      </c>
      <c r="C174" s="813" t="s">
        <v>29</v>
      </c>
      <c r="D174" s="820" t="s">
        <v>244</v>
      </c>
      <c r="E174" s="227" t="s">
        <v>47</v>
      </c>
      <c r="F174" s="724" t="s">
        <v>46</v>
      </c>
      <c r="G174" s="66"/>
      <c r="H174" s="124"/>
      <c r="I174" s="124"/>
      <c r="J174" s="124"/>
      <c r="K174" s="828"/>
      <c r="L174" s="122"/>
      <c r="M174" s="472"/>
      <c r="N174" s="195"/>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row>
    <row r="175" spans="1:48" s="8" customFormat="1" ht="14.25" customHeight="1" x14ac:dyDescent="0.2">
      <c r="A175" s="712"/>
      <c r="B175" s="721"/>
      <c r="C175" s="809"/>
      <c r="D175" s="1373" t="s">
        <v>237</v>
      </c>
      <c r="E175" s="1491" t="s">
        <v>236</v>
      </c>
      <c r="F175" s="1434"/>
      <c r="G175" s="686" t="s">
        <v>24</v>
      </c>
      <c r="H175" s="103">
        <v>10</v>
      </c>
      <c r="I175" s="103">
        <v>84</v>
      </c>
      <c r="J175" s="103"/>
      <c r="K175" s="729" t="s">
        <v>94</v>
      </c>
      <c r="L175" s="34">
        <v>1</v>
      </c>
      <c r="M175" s="136"/>
      <c r="N175" s="198"/>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row>
    <row r="176" spans="1:48" s="8" customFormat="1" ht="12.75" customHeight="1" x14ac:dyDescent="0.2">
      <c r="A176" s="712"/>
      <c r="B176" s="721"/>
      <c r="C176" s="809"/>
      <c r="D176" s="1387"/>
      <c r="E176" s="1492"/>
      <c r="F176" s="1434"/>
      <c r="G176" s="283"/>
      <c r="H176" s="104"/>
      <c r="I176" s="104"/>
      <c r="J176" s="104"/>
      <c r="K176" s="711" t="s">
        <v>238</v>
      </c>
      <c r="L176" s="81"/>
      <c r="M176" s="135">
        <v>1</v>
      </c>
      <c r="N176" s="536"/>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row>
    <row r="177" spans="1:48" s="8" customFormat="1" ht="16.5" customHeight="1" thickBot="1" x14ac:dyDescent="0.25">
      <c r="A177" s="26"/>
      <c r="B177" s="812"/>
      <c r="C177" s="826"/>
      <c r="D177" s="807"/>
      <c r="E177" s="447"/>
      <c r="F177" s="69"/>
      <c r="G177" s="35" t="s">
        <v>6</v>
      </c>
      <c r="H177" s="162">
        <f>H175</f>
        <v>10</v>
      </c>
      <c r="I177" s="162">
        <f>I175</f>
        <v>84</v>
      </c>
      <c r="J177" s="162"/>
      <c r="K177" s="226"/>
      <c r="L177" s="41"/>
      <c r="M177" s="460"/>
      <c r="N177" s="411"/>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row>
    <row r="178" spans="1:48" s="8" customFormat="1" ht="14.25" customHeight="1" thickBot="1" x14ac:dyDescent="0.25">
      <c r="A178" s="28" t="s">
        <v>5</v>
      </c>
      <c r="B178" s="72" t="s">
        <v>5</v>
      </c>
      <c r="C178" s="1518" t="s">
        <v>8</v>
      </c>
      <c r="D178" s="1519"/>
      <c r="E178" s="1519"/>
      <c r="F178" s="1519"/>
      <c r="G178" s="1520"/>
      <c r="H178" s="373">
        <f>+H173+H141+H138+H135+H114+H77+H62+H177</f>
        <v>9582.7999999999993</v>
      </c>
      <c r="I178" s="373">
        <f>+I173+I141+I138+I135+I114+I77+I62+I177</f>
        <v>20452.400000000001</v>
      </c>
      <c r="J178" s="109">
        <f>+J173+J141+J138+J135+J114+J77+J62+J177</f>
        <v>20559.900000000001</v>
      </c>
      <c r="K178" s="266"/>
      <c r="L178" s="266"/>
      <c r="M178" s="266"/>
      <c r="N178" s="229"/>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row>
    <row r="179" spans="1:48" s="8" customFormat="1" ht="17.25" customHeight="1" thickBot="1" x14ac:dyDescent="0.25">
      <c r="A179" s="28" t="s">
        <v>5</v>
      </c>
      <c r="B179" s="72" t="s">
        <v>7</v>
      </c>
      <c r="C179" s="1511" t="s">
        <v>42</v>
      </c>
      <c r="D179" s="1512"/>
      <c r="E179" s="1512"/>
      <c r="F179" s="1512"/>
      <c r="G179" s="1512"/>
      <c r="H179" s="1512"/>
      <c r="I179" s="1512"/>
      <c r="J179" s="1512"/>
      <c r="K179" s="1512"/>
      <c r="L179" s="1512"/>
      <c r="M179" s="1512"/>
      <c r="N179" s="151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row>
    <row r="180" spans="1:48" s="8" customFormat="1" ht="15.75" customHeight="1" x14ac:dyDescent="0.2">
      <c r="A180" s="82" t="s">
        <v>5</v>
      </c>
      <c r="B180" s="114" t="s">
        <v>7</v>
      </c>
      <c r="C180" s="236" t="s">
        <v>5</v>
      </c>
      <c r="D180" s="1367" t="s">
        <v>81</v>
      </c>
      <c r="E180" s="875"/>
      <c r="F180" s="876">
        <v>6</v>
      </c>
      <c r="G180" s="877" t="s">
        <v>24</v>
      </c>
      <c r="H180" s="124">
        <v>565.29999999999995</v>
      </c>
      <c r="I180" s="124">
        <v>597.5</v>
      </c>
      <c r="J180" s="129">
        <v>370</v>
      </c>
      <c r="K180" s="878"/>
      <c r="L180" s="249"/>
      <c r="M180" s="249"/>
      <c r="N180" s="250"/>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row>
    <row r="181" spans="1:48" s="8" customFormat="1" ht="18.75" customHeight="1" x14ac:dyDescent="0.2">
      <c r="A181" s="83"/>
      <c r="B181" s="235"/>
      <c r="C181" s="874"/>
      <c r="D181" s="1368"/>
      <c r="E181" s="872"/>
      <c r="F181" s="879"/>
      <c r="G181" s="59" t="s">
        <v>58</v>
      </c>
      <c r="H181" s="260">
        <v>35.6</v>
      </c>
      <c r="I181" s="260"/>
      <c r="J181" s="873"/>
      <c r="K181" s="880"/>
      <c r="L181" s="492"/>
      <c r="M181" s="492"/>
      <c r="N181" s="86"/>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row>
    <row r="182" spans="1:48" s="8" customFormat="1" ht="18" customHeight="1" x14ac:dyDescent="0.2">
      <c r="A182" s="83"/>
      <c r="B182" s="235"/>
      <c r="C182" s="826"/>
      <c r="D182" s="1514" t="s">
        <v>52</v>
      </c>
      <c r="E182" s="810"/>
      <c r="F182" s="53"/>
      <c r="G182" s="55"/>
      <c r="H182" s="722"/>
      <c r="I182" s="722"/>
      <c r="J182" s="653"/>
      <c r="K182" s="814" t="s">
        <v>215</v>
      </c>
      <c r="L182" s="436">
        <v>350</v>
      </c>
      <c r="M182" s="579">
        <v>350</v>
      </c>
      <c r="N182" s="437">
        <v>350</v>
      </c>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row>
    <row r="183" spans="1:48" s="8" customFormat="1" ht="28.5" customHeight="1" x14ac:dyDescent="0.2">
      <c r="A183" s="83"/>
      <c r="B183" s="235"/>
      <c r="C183" s="826"/>
      <c r="D183" s="1514"/>
      <c r="E183" s="810"/>
      <c r="F183" s="53"/>
      <c r="G183" s="55"/>
      <c r="H183" s="260"/>
      <c r="I183" s="260"/>
      <c r="J183" s="822"/>
      <c r="K183" s="815" t="s">
        <v>126</v>
      </c>
      <c r="L183" s="172">
        <v>300</v>
      </c>
      <c r="M183" s="417">
        <v>300</v>
      </c>
      <c r="N183" s="438">
        <v>300</v>
      </c>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row>
    <row r="184" spans="1:48" s="8" customFormat="1" ht="28.5" customHeight="1" x14ac:dyDescent="0.2">
      <c r="A184" s="83"/>
      <c r="B184" s="235"/>
      <c r="C184" s="809"/>
      <c r="D184" s="1515"/>
      <c r="E184" s="811"/>
      <c r="F184" s="53"/>
      <c r="G184" s="56"/>
      <c r="H184" s="104"/>
      <c r="I184" s="104"/>
      <c r="J184" s="613"/>
      <c r="K184" s="225" t="s">
        <v>85</v>
      </c>
      <c r="L184" s="434">
        <v>36</v>
      </c>
      <c r="M184" s="418">
        <v>36</v>
      </c>
      <c r="N184" s="435">
        <v>36</v>
      </c>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row>
    <row r="185" spans="1:48" s="8" customFormat="1" ht="14.25" customHeight="1" x14ac:dyDescent="0.2">
      <c r="A185" s="83"/>
      <c r="B185" s="235"/>
      <c r="C185" s="826"/>
      <c r="D185" s="1514" t="s">
        <v>190</v>
      </c>
      <c r="E185" s="726"/>
      <c r="F185" s="53"/>
      <c r="G185" s="55"/>
      <c r="H185" s="260"/>
      <c r="I185" s="260"/>
      <c r="J185" s="260"/>
      <c r="K185" s="1598" t="s">
        <v>105</v>
      </c>
      <c r="L185" s="830">
        <v>18</v>
      </c>
      <c r="M185" s="493">
        <v>18</v>
      </c>
      <c r="N185" s="353">
        <v>18</v>
      </c>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row>
    <row r="186" spans="1:48" s="8" customFormat="1" ht="13.5" customHeight="1" x14ac:dyDescent="0.2">
      <c r="A186" s="83"/>
      <c r="B186" s="235"/>
      <c r="C186" s="826"/>
      <c r="D186" s="1374"/>
      <c r="E186" s="726"/>
      <c r="F186" s="53"/>
      <c r="G186" s="55"/>
      <c r="H186" s="260"/>
      <c r="I186" s="260"/>
      <c r="J186" s="260"/>
      <c r="K186" s="1599"/>
      <c r="L186" s="831"/>
      <c r="M186" s="354"/>
      <c r="N186" s="355"/>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row>
    <row r="187" spans="1:48" ht="27.75" customHeight="1" x14ac:dyDescent="0.2">
      <c r="A187" s="83"/>
      <c r="B187" s="235"/>
      <c r="C187" s="826"/>
      <c r="D187" s="1374"/>
      <c r="E187" s="726"/>
      <c r="F187" s="53"/>
      <c r="G187" s="55"/>
      <c r="H187" s="260"/>
      <c r="I187" s="260"/>
      <c r="J187" s="260"/>
      <c r="K187" s="91" t="s">
        <v>101</v>
      </c>
      <c r="L187" s="173">
        <v>25</v>
      </c>
      <c r="M187" s="494">
        <v>5</v>
      </c>
      <c r="N187" s="295">
        <v>5</v>
      </c>
    </row>
    <row r="188" spans="1:48" ht="16.5" customHeight="1" x14ac:dyDescent="0.2">
      <c r="A188" s="83"/>
      <c r="B188" s="235"/>
      <c r="C188" s="826"/>
      <c r="D188" s="1374"/>
      <c r="E188" s="87"/>
      <c r="F188" s="79"/>
      <c r="G188" s="55"/>
      <c r="H188" s="260"/>
      <c r="I188" s="260"/>
      <c r="J188" s="260"/>
      <c r="K188" s="663" t="s">
        <v>44</v>
      </c>
      <c r="L188" s="251">
        <v>57</v>
      </c>
      <c r="M188" s="374">
        <v>57</v>
      </c>
      <c r="N188" s="375">
        <v>57</v>
      </c>
    </row>
    <row r="189" spans="1:48" ht="25.5" customHeight="1" x14ac:dyDescent="0.2">
      <c r="A189" s="83"/>
      <c r="B189" s="235"/>
      <c r="C189" s="826"/>
      <c r="D189" s="1374"/>
      <c r="E189" s="87"/>
      <c r="F189" s="79"/>
      <c r="G189" s="55"/>
      <c r="H189" s="260"/>
      <c r="I189" s="260"/>
      <c r="J189" s="260"/>
      <c r="K189" s="663" t="s">
        <v>100</v>
      </c>
      <c r="L189" s="251">
        <v>1</v>
      </c>
      <c r="M189" s="374"/>
      <c r="N189" s="375"/>
      <c r="S189" s="668"/>
    </row>
    <row r="190" spans="1:48" ht="28.5" customHeight="1" x14ac:dyDescent="0.2">
      <c r="A190" s="83"/>
      <c r="B190" s="235"/>
      <c r="C190" s="826"/>
      <c r="D190" s="816"/>
      <c r="E190" s="87"/>
      <c r="F190" s="79"/>
      <c r="G190" s="55"/>
      <c r="H190" s="260"/>
      <c r="I190" s="260"/>
      <c r="J190" s="260"/>
      <c r="K190" s="651" t="s">
        <v>267</v>
      </c>
      <c r="L190" s="645">
        <v>7.5</v>
      </c>
      <c r="M190" s="646">
        <v>7.5</v>
      </c>
      <c r="N190" s="647">
        <v>7.5</v>
      </c>
    </row>
    <row r="191" spans="1:48" ht="40.5" customHeight="1" x14ac:dyDescent="0.2">
      <c r="A191" s="83"/>
      <c r="B191" s="235"/>
      <c r="C191" s="826"/>
      <c r="D191" s="816"/>
      <c r="E191" s="87"/>
      <c r="F191" s="79"/>
      <c r="G191" s="55"/>
      <c r="H191" s="260"/>
      <c r="I191" s="260"/>
      <c r="J191" s="260"/>
      <c r="K191" s="651" t="s">
        <v>179</v>
      </c>
      <c r="L191" s="173">
        <v>100</v>
      </c>
      <c r="M191" s="494"/>
      <c r="N191" s="295"/>
    </row>
    <row r="192" spans="1:48" ht="15.75" customHeight="1" x14ac:dyDescent="0.2">
      <c r="A192" s="83"/>
      <c r="B192" s="235"/>
      <c r="C192" s="826"/>
      <c r="D192" s="816"/>
      <c r="E192" s="87"/>
      <c r="F192" s="79"/>
      <c r="G192" s="55"/>
      <c r="H192" s="260"/>
      <c r="I192" s="260"/>
      <c r="J192" s="260"/>
      <c r="K192" s="664" t="s">
        <v>178</v>
      </c>
      <c r="L192" s="173"/>
      <c r="M192" s="494">
        <v>80</v>
      </c>
      <c r="N192" s="295"/>
    </row>
    <row r="193" spans="1:48" ht="29.25" customHeight="1" x14ac:dyDescent="0.2">
      <c r="A193" s="83"/>
      <c r="B193" s="235"/>
      <c r="C193" s="826"/>
      <c r="D193" s="816"/>
      <c r="E193" s="87"/>
      <c r="F193" s="79"/>
      <c r="G193" s="55"/>
      <c r="H193" s="260"/>
      <c r="I193" s="260"/>
      <c r="J193" s="260"/>
      <c r="K193" s="651" t="s">
        <v>268</v>
      </c>
      <c r="L193" s="173">
        <v>50</v>
      </c>
      <c r="M193" s="494">
        <v>100</v>
      </c>
      <c r="N193" s="295"/>
    </row>
    <row r="194" spans="1:48" ht="30.75" customHeight="1" x14ac:dyDescent="0.2">
      <c r="A194" s="83"/>
      <c r="B194" s="235"/>
      <c r="C194" s="826"/>
      <c r="D194" s="816"/>
      <c r="E194" s="87"/>
      <c r="F194" s="79"/>
      <c r="G194" s="56"/>
      <c r="H194" s="104"/>
      <c r="I194" s="499"/>
      <c r="J194" s="545"/>
      <c r="K194" s="663" t="s">
        <v>269</v>
      </c>
      <c r="L194" s="251">
        <v>10</v>
      </c>
      <c r="M194" s="832">
        <v>100</v>
      </c>
      <c r="N194" s="833"/>
    </row>
    <row r="195" spans="1:48" s="8" customFormat="1" ht="16.5" customHeight="1" thickBot="1" x14ac:dyDescent="0.25">
      <c r="A195" s="26"/>
      <c r="B195" s="812"/>
      <c r="C195" s="826"/>
      <c r="D195" s="807"/>
      <c r="E195" s="447"/>
      <c r="F195" s="69"/>
      <c r="G195" s="35" t="s">
        <v>6</v>
      </c>
      <c r="H195" s="162">
        <f>SUM(H180:H194)</f>
        <v>600.9</v>
      </c>
      <c r="I195" s="162">
        <f t="shared" ref="I195:J195" si="3">SUM(I180:I194)</f>
        <v>597.5</v>
      </c>
      <c r="J195" s="162">
        <f t="shared" si="3"/>
        <v>370</v>
      </c>
      <c r="K195" s="226"/>
      <c r="L195" s="41"/>
      <c r="M195" s="460"/>
      <c r="N195" s="411"/>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row>
    <row r="196" spans="1:48" ht="14.25" customHeight="1" thickBot="1" x14ac:dyDescent="0.25">
      <c r="A196" s="29" t="s">
        <v>5</v>
      </c>
      <c r="B196" s="6" t="s">
        <v>7</v>
      </c>
      <c r="C196" s="1519" t="s">
        <v>8</v>
      </c>
      <c r="D196" s="1519"/>
      <c r="E196" s="1519"/>
      <c r="F196" s="1519"/>
      <c r="G196" s="1519"/>
      <c r="H196" s="109">
        <f>H195</f>
        <v>600.9</v>
      </c>
      <c r="I196" s="109">
        <f t="shared" ref="I196:J196" si="4">I195</f>
        <v>597.5</v>
      </c>
      <c r="J196" s="109">
        <f t="shared" si="4"/>
        <v>370</v>
      </c>
      <c r="K196" s="266"/>
      <c r="L196" s="266"/>
      <c r="M196" s="266"/>
      <c r="N196" s="229"/>
    </row>
    <row r="197" spans="1:48" ht="17.25" customHeight="1" thickBot="1" x14ac:dyDescent="0.25">
      <c r="A197" s="28" t="s">
        <v>5</v>
      </c>
      <c r="B197" s="6" t="s">
        <v>26</v>
      </c>
      <c r="C197" s="1369" t="s">
        <v>136</v>
      </c>
      <c r="D197" s="1524"/>
      <c r="E197" s="1524"/>
      <c r="F197" s="1524"/>
      <c r="G197" s="1524"/>
      <c r="H197" s="1525"/>
      <c r="I197" s="1526"/>
      <c r="J197" s="1526"/>
      <c r="K197" s="1526"/>
      <c r="L197" s="1526"/>
      <c r="M197" s="1526"/>
      <c r="N197" s="231"/>
    </row>
    <row r="198" spans="1:48" ht="14.25" customHeight="1" x14ac:dyDescent="0.2">
      <c r="A198" s="273" t="s">
        <v>5</v>
      </c>
      <c r="B198" s="267" t="s">
        <v>26</v>
      </c>
      <c r="C198" s="818" t="s">
        <v>5</v>
      </c>
      <c r="D198" s="1367" t="s">
        <v>98</v>
      </c>
      <c r="E198" s="210"/>
      <c r="F198" s="620">
        <v>6</v>
      </c>
      <c r="G198" s="829" t="s">
        <v>24</v>
      </c>
      <c r="H198" s="125">
        <f>1292+111</f>
        <v>1403</v>
      </c>
      <c r="I198" s="181">
        <f>1690.5-30-200+120</f>
        <v>1580.5</v>
      </c>
      <c r="J198" s="835">
        <f>1695-200</f>
        <v>1495</v>
      </c>
      <c r="K198" s="815"/>
      <c r="L198" s="500"/>
      <c r="M198" s="277"/>
      <c r="N198" s="279"/>
    </row>
    <row r="199" spans="1:48" ht="17.25" customHeight="1" x14ac:dyDescent="0.2">
      <c r="A199" s="273"/>
      <c r="B199" s="267"/>
      <c r="C199" s="818"/>
      <c r="D199" s="1483"/>
      <c r="E199" s="280"/>
      <c r="F199" s="272"/>
      <c r="G199" s="283" t="s">
        <v>58</v>
      </c>
      <c r="H199" s="100">
        <f>100+35.1+196.7+429</f>
        <v>760.8</v>
      </c>
      <c r="I199" s="836"/>
      <c r="J199" s="837"/>
      <c r="K199" s="225"/>
      <c r="L199" s="402"/>
      <c r="M199" s="381"/>
      <c r="N199" s="403"/>
    </row>
    <row r="200" spans="1:48" ht="14.25" customHeight="1" x14ac:dyDescent="0.2">
      <c r="A200" s="273"/>
      <c r="B200" s="267"/>
      <c r="C200" s="818"/>
      <c r="D200" s="1387" t="s">
        <v>283</v>
      </c>
      <c r="E200" s="210" t="s">
        <v>47</v>
      </c>
      <c r="F200" s="272"/>
      <c r="G200" s="740"/>
      <c r="H200" s="125"/>
      <c r="I200" s="822"/>
      <c r="J200" s="260"/>
      <c r="K200" s="834"/>
      <c r="L200" s="3"/>
      <c r="M200" s="400"/>
      <c r="N200" s="401"/>
    </row>
    <row r="201" spans="1:48" ht="11.25" customHeight="1" x14ac:dyDescent="0.2">
      <c r="A201" s="273"/>
      <c r="B201" s="267"/>
      <c r="C201" s="818"/>
      <c r="D201" s="1374"/>
      <c r="E201" s="210"/>
      <c r="F201" s="272"/>
      <c r="G201" s="740"/>
      <c r="H201" s="125"/>
      <c r="I201" s="734"/>
      <c r="J201" s="260"/>
      <c r="K201" s="296"/>
      <c r="L201" s="428"/>
      <c r="M201" s="847"/>
      <c r="N201" s="298"/>
    </row>
    <row r="202" spans="1:48" ht="15" customHeight="1" x14ac:dyDescent="0.2">
      <c r="A202" s="273"/>
      <c r="B202" s="267"/>
      <c r="C202" s="818"/>
      <c r="D202" s="281" t="s">
        <v>347</v>
      </c>
      <c r="E202" s="210"/>
      <c r="F202" s="272"/>
      <c r="G202" s="740"/>
      <c r="H202" s="357"/>
      <c r="I202" s="733"/>
      <c r="J202" s="723"/>
      <c r="K202" s="356" t="s">
        <v>270</v>
      </c>
      <c r="L202" s="358">
        <v>10</v>
      </c>
      <c r="M202" s="504">
        <v>10</v>
      </c>
      <c r="N202" s="359">
        <v>10</v>
      </c>
    </row>
    <row r="203" spans="1:48" ht="13.5" customHeight="1" x14ac:dyDescent="0.2">
      <c r="A203" s="273"/>
      <c r="B203" s="267"/>
      <c r="C203" s="818"/>
      <c r="D203" s="1527" t="s">
        <v>302</v>
      </c>
      <c r="E203" s="210"/>
      <c r="F203" s="272"/>
      <c r="G203" s="740"/>
      <c r="H203" s="125"/>
      <c r="I203" s="734"/>
      <c r="J203" s="260"/>
      <c r="K203" s="1529" t="s">
        <v>230</v>
      </c>
      <c r="L203" s="384">
        <v>726</v>
      </c>
      <c r="M203" s="505">
        <v>585</v>
      </c>
      <c r="N203" s="385">
        <v>596</v>
      </c>
    </row>
    <row r="204" spans="1:48" ht="12.75" customHeight="1" x14ac:dyDescent="0.2">
      <c r="A204" s="273"/>
      <c r="B204" s="267"/>
      <c r="C204" s="818"/>
      <c r="D204" s="1528"/>
      <c r="E204" s="210"/>
      <c r="F204" s="272"/>
      <c r="G204" s="740"/>
      <c r="H204" s="125"/>
      <c r="I204" s="734"/>
      <c r="J204" s="260"/>
      <c r="K204" s="1530"/>
      <c r="L204" s="604"/>
      <c r="M204" s="605"/>
      <c r="N204" s="606"/>
    </row>
    <row r="205" spans="1:48" ht="26.25" customHeight="1" x14ac:dyDescent="0.2">
      <c r="A205" s="273"/>
      <c r="B205" s="267"/>
      <c r="C205" s="818"/>
      <c r="D205" s="297" t="s">
        <v>282</v>
      </c>
      <c r="E205" s="210"/>
      <c r="F205" s="272"/>
      <c r="G205" s="740"/>
      <c r="H205" s="357"/>
      <c r="I205" s="733"/>
      <c r="J205" s="723"/>
      <c r="K205" s="821" t="s">
        <v>153</v>
      </c>
      <c r="L205" s="611">
        <v>10.3</v>
      </c>
      <c r="M205" s="504">
        <v>7</v>
      </c>
      <c r="N205" s="359">
        <v>7</v>
      </c>
    </row>
    <row r="206" spans="1:48" ht="19.5" customHeight="1" x14ac:dyDescent="0.2">
      <c r="A206" s="1388"/>
      <c r="B206" s="1396"/>
      <c r="C206" s="1521"/>
      <c r="D206" s="1522" t="s">
        <v>141</v>
      </c>
      <c r="E206" s="1596"/>
      <c r="F206" s="272"/>
      <c r="G206" s="686"/>
      <c r="H206" s="110"/>
      <c r="I206" s="110"/>
      <c r="J206" s="103"/>
      <c r="K206" s="755" t="s">
        <v>151</v>
      </c>
      <c r="L206" s="175">
        <v>1</v>
      </c>
      <c r="M206" s="459"/>
      <c r="N206" s="201"/>
    </row>
    <row r="207" spans="1:48" ht="9" customHeight="1" x14ac:dyDescent="0.2">
      <c r="A207" s="1388"/>
      <c r="B207" s="1396"/>
      <c r="C207" s="1521"/>
      <c r="D207" s="1515"/>
      <c r="E207" s="1597"/>
      <c r="F207" s="272"/>
      <c r="G207" s="283"/>
      <c r="H207" s="613"/>
      <c r="I207" s="613"/>
      <c r="J207" s="104"/>
      <c r="K207" s="825"/>
      <c r="L207" s="176"/>
      <c r="M207" s="440"/>
      <c r="N207" s="217"/>
    </row>
    <row r="208" spans="1:48" ht="12.75" customHeight="1" x14ac:dyDescent="0.2">
      <c r="A208" s="1388"/>
      <c r="B208" s="1396"/>
      <c r="C208" s="1521"/>
      <c r="D208" s="1522" t="s">
        <v>348</v>
      </c>
      <c r="E208" s="1523"/>
      <c r="F208" s="272"/>
      <c r="G208" s="829"/>
      <c r="H208" s="932"/>
      <c r="I208" s="822"/>
      <c r="J208" s="260"/>
      <c r="K208" s="731" t="s">
        <v>271</v>
      </c>
      <c r="L208" s="174">
        <v>1</v>
      </c>
      <c r="M208" s="459"/>
      <c r="N208" s="201"/>
    </row>
    <row r="209" spans="1:48" ht="12.75" customHeight="1" x14ac:dyDescent="0.2">
      <c r="A209" s="1388"/>
      <c r="B209" s="1396"/>
      <c r="C209" s="1521"/>
      <c r="D209" s="1514"/>
      <c r="E209" s="1523"/>
      <c r="F209" s="272"/>
      <c r="G209" s="829"/>
      <c r="H209" s="932"/>
      <c r="I209" s="822"/>
      <c r="J209" s="260"/>
      <c r="K209" s="731" t="s">
        <v>272</v>
      </c>
      <c r="L209" s="174">
        <v>1</v>
      </c>
      <c r="M209" s="386"/>
      <c r="N209" s="257"/>
    </row>
    <row r="210" spans="1:48" ht="27.75" customHeight="1" x14ac:dyDescent="0.2">
      <c r="A210" s="1388"/>
      <c r="B210" s="1396"/>
      <c r="C210" s="1521"/>
      <c r="D210" s="1515"/>
      <c r="E210" s="1523"/>
      <c r="F210" s="272"/>
      <c r="G210" s="829"/>
      <c r="H210" s="932"/>
      <c r="I210" s="822"/>
      <c r="J210" s="260"/>
      <c r="K210" s="824"/>
      <c r="L210" s="176"/>
      <c r="M210" s="440"/>
      <c r="N210" s="217"/>
    </row>
    <row r="211" spans="1:48" ht="18.75" customHeight="1" x14ac:dyDescent="0.2">
      <c r="A211" s="712"/>
      <c r="B211" s="713"/>
      <c r="C211" s="826"/>
      <c r="D211" s="1373" t="s">
        <v>292</v>
      </c>
      <c r="E211" s="843"/>
      <c r="F211" s="808"/>
      <c r="G211" s="686"/>
      <c r="H211" s="103"/>
      <c r="I211" s="110"/>
      <c r="J211" s="103"/>
      <c r="K211" s="814" t="s">
        <v>274</v>
      </c>
      <c r="L211" s="654">
        <v>4</v>
      </c>
      <c r="M211" s="704">
        <v>3</v>
      </c>
      <c r="N211" s="705">
        <v>3</v>
      </c>
      <c r="O211" s="8"/>
      <c r="P211" s="8"/>
    </row>
    <row r="212" spans="1:48" ht="26.25" customHeight="1" x14ac:dyDescent="0.2">
      <c r="A212" s="712"/>
      <c r="B212" s="713"/>
      <c r="C212" s="826"/>
      <c r="D212" s="1387"/>
      <c r="E212" s="842"/>
      <c r="F212" s="808"/>
      <c r="G212" s="829"/>
      <c r="H212" s="260"/>
      <c r="I212" s="102"/>
      <c r="J212" s="260"/>
      <c r="K212" s="44" t="s">
        <v>349</v>
      </c>
      <c r="L212" s="142">
        <v>3</v>
      </c>
      <c r="M212" s="328">
        <v>4</v>
      </c>
      <c r="N212" s="329">
        <v>3</v>
      </c>
      <c r="O212" s="8"/>
      <c r="P212" s="8"/>
    </row>
    <row r="213" spans="1:48" ht="26.25" customHeight="1" x14ac:dyDescent="0.2">
      <c r="A213" s="26"/>
      <c r="B213" s="721"/>
      <c r="C213" s="826"/>
      <c r="D213" s="1387"/>
      <c r="E213" s="842"/>
      <c r="F213" s="808"/>
      <c r="G213" s="829"/>
      <c r="H213" s="260"/>
      <c r="I213" s="102"/>
      <c r="J213" s="260"/>
      <c r="K213" s="44" t="s">
        <v>350</v>
      </c>
      <c r="L213" s="199">
        <v>8</v>
      </c>
      <c r="M213" s="469">
        <v>11</v>
      </c>
      <c r="N213" s="563">
        <v>14</v>
      </c>
      <c r="O213" s="8"/>
      <c r="P213" s="8"/>
    </row>
    <row r="214" spans="1:48" ht="17.25" customHeight="1" x14ac:dyDescent="0.2">
      <c r="A214" s="26"/>
      <c r="B214" s="721"/>
      <c r="C214" s="826"/>
      <c r="D214" s="1387"/>
      <c r="E214" s="842"/>
      <c r="F214" s="808"/>
      <c r="G214" s="829"/>
      <c r="H214" s="932"/>
      <c r="I214" s="822"/>
      <c r="J214" s="260"/>
      <c r="K214" s="202" t="s">
        <v>273</v>
      </c>
      <c r="L214" s="184">
        <v>100</v>
      </c>
      <c r="M214" s="358">
        <v>100</v>
      </c>
      <c r="N214" s="359">
        <v>100</v>
      </c>
      <c r="O214" s="8"/>
      <c r="P214" s="8"/>
    </row>
    <row r="215" spans="1:48" ht="38.25" customHeight="1" x14ac:dyDescent="0.2">
      <c r="A215" s="26"/>
      <c r="B215" s="721"/>
      <c r="C215" s="388"/>
      <c r="D215" s="1587"/>
      <c r="E215" s="839"/>
      <c r="F215" s="272"/>
      <c r="G215" s="844"/>
      <c r="H215" s="932"/>
      <c r="I215" s="841"/>
      <c r="J215" s="260"/>
      <c r="K215" s="846" t="s">
        <v>275</v>
      </c>
      <c r="L215" s="603">
        <v>5</v>
      </c>
      <c r="M215" s="384">
        <v>5</v>
      </c>
      <c r="N215" s="385">
        <v>5</v>
      </c>
      <c r="O215" s="8"/>
      <c r="P215" s="8"/>
    </row>
    <row r="216" spans="1:48" s="50" customFormat="1" ht="39.75" customHeight="1" x14ac:dyDescent="0.2">
      <c r="A216" s="367"/>
      <c r="B216" s="368"/>
      <c r="C216" s="404"/>
      <c r="D216" s="170"/>
      <c r="E216" s="370"/>
      <c r="F216" s="838"/>
      <c r="G216" s="446"/>
      <c r="H216" s="673"/>
      <c r="I216" s="152"/>
      <c r="J216" s="104"/>
      <c r="K216" s="840" t="s">
        <v>243</v>
      </c>
      <c r="L216" s="603"/>
      <c r="M216" s="505">
        <v>1</v>
      </c>
      <c r="N216" s="385"/>
    </row>
    <row r="217" spans="1:48" s="8" customFormat="1" ht="16.5" customHeight="1" thickBot="1" x14ac:dyDescent="0.25">
      <c r="A217" s="26"/>
      <c r="B217" s="812"/>
      <c r="C217" s="826"/>
      <c r="D217" s="807"/>
      <c r="E217" s="447"/>
      <c r="F217" s="69"/>
      <c r="G217" s="35" t="s">
        <v>6</v>
      </c>
      <c r="H217" s="162">
        <f>SUM(H198:H216)</f>
        <v>2163.8000000000002</v>
      </c>
      <c r="I217" s="162">
        <f>SUM(I198:I216)</f>
        <v>1580.5</v>
      </c>
      <c r="J217" s="162">
        <f>SUM(J198:J216)</f>
        <v>1495</v>
      </c>
      <c r="K217" s="226"/>
      <c r="L217" s="41"/>
      <c r="M217" s="460"/>
      <c r="N217" s="411"/>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row>
    <row r="218" spans="1:48" ht="33" customHeight="1" x14ac:dyDescent="0.2">
      <c r="A218" s="30" t="s">
        <v>5</v>
      </c>
      <c r="B218" s="232" t="s">
        <v>26</v>
      </c>
      <c r="C218" s="233" t="s">
        <v>7</v>
      </c>
      <c r="D218" s="819" t="s">
        <v>161</v>
      </c>
      <c r="E218" s="116"/>
      <c r="F218" s="724" t="s">
        <v>50</v>
      </c>
      <c r="G218" s="183" t="s">
        <v>24</v>
      </c>
      <c r="H218" s="129">
        <f>35.3+3+11.3</f>
        <v>49.6</v>
      </c>
      <c r="I218" s="124">
        <v>11.2</v>
      </c>
      <c r="J218" s="124">
        <v>11.2</v>
      </c>
      <c r="K218" s="715"/>
      <c r="L218" s="234"/>
      <c r="M218" s="506"/>
      <c r="N218" s="509"/>
    </row>
    <row r="219" spans="1:48" ht="36.75" customHeight="1" x14ac:dyDescent="0.2">
      <c r="A219" s="273"/>
      <c r="B219" s="267"/>
      <c r="C219" s="818"/>
      <c r="D219" s="282" t="s">
        <v>351</v>
      </c>
      <c r="E219" s="1110"/>
      <c r="F219" s="714"/>
      <c r="G219" s="609"/>
      <c r="H219" s="163"/>
      <c r="I219" s="106"/>
      <c r="J219" s="106"/>
      <c r="K219" s="405" t="s">
        <v>149</v>
      </c>
      <c r="L219" s="671"/>
      <c r="M219" s="507"/>
      <c r="N219" s="672">
        <v>1</v>
      </c>
    </row>
    <row r="220" spans="1:48" ht="41.25" customHeight="1" x14ac:dyDescent="0.2">
      <c r="A220" s="273"/>
      <c r="B220" s="267"/>
      <c r="C220" s="818"/>
      <c r="D220" s="817" t="s">
        <v>352</v>
      </c>
      <c r="E220" s="1110"/>
      <c r="F220" s="714"/>
      <c r="G220" s="740"/>
      <c r="H220" s="932"/>
      <c r="I220" s="260"/>
      <c r="J220" s="260"/>
      <c r="K220" s="731" t="s">
        <v>149</v>
      </c>
      <c r="L220" s="661">
        <v>1</v>
      </c>
      <c r="M220" s="508"/>
      <c r="N220" s="489"/>
    </row>
    <row r="221" spans="1:48" ht="53.25" customHeight="1" x14ac:dyDescent="0.2">
      <c r="A221" s="273"/>
      <c r="B221" s="267"/>
      <c r="C221" s="818"/>
      <c r="D221" s="282" t="s">
        <v>293</v>
      </c>
      <c r="E221" s="1110"/>
      <c r="F221" s="714"/>
      <c r="G221" s="609"/>
      <c r="H221" s="163"/>
      <c r="I221" s="106"/>
      <c r="J221" s="106"/>
      <c r="K221" s="405" t="s">
        <v>149</v>
      </c>
      <c r="L221" s="671">
        <v>1</v>
      </c>
      <c r="M221" s="507"/>
      <c r="N221" s="672"/>
    </row>
    <row r="222" spans="1:48" ht="40.5" customHeight="1" x14ac:dyDescent="0.2">
      <c r="A222" s="273"/>
      <c r="B222" s="267"/>
      <c r="C222" s="818"/>
      <c r="D222" s="817" t="s">
        <v>279</v>
      </c>
      <c r="E222" s="1110"/>
      <c r="F222" s="714"/>
      <c r="G222" s="740"/>
      <c r="H222" s="932"/>
      <c r="I222" s="260"/>
      <c r="J222" s="260"/>
      <c r="K222" s="731" t="s">
        <v>149</v>
      </c>
      <c r="L222" s="661"/>
      <c r="M222" s="508"/>
      <c r="N222" s="489">
        <v>1</v>
      </c>
    </row>
    <row r="223" spans="1:48" ht="51" x14ac:dyDescent="0.2">
      <c r="A223" s="273"/>
      <c r="B223" s="267"/>
      <c r="C223" s="818"/>
      <c r="D223" s="282" t="s">
        <v>176</v>
      </c>
      <c r="E223" s="1110"/>
      <c r="F223" s="714"/>
      <c r="G223" s="609"/>
      <c r="H223" s="163"/>
      <c r="I223" s="106"/>
      <c r="J223" s="106"/>
      <c r="K223" s="405" t="s">
        <v>149</v>
      </c>
      <c r="L223" s="671"/>
      <c r="M223" s="507"/>
      <c r="N223" s="672">
        <v>1</v>
      </c>
    </row>
    <row r="224" spans="1:48" ht="39" customHeight="1" x14ac:dyDescent="0.2">
      <c r="A224" s="273"/>
      <c r="B224" s="267"/>
      <c r="C224" s="818"/>
      <c r="D224" s="282" t="s">
        <v>294</v>
      </c>
      <c r="E224" s="1110"/>
      <c r="F224" s="855"/>
      <c r="G224" s="283"/>
      <c r="H224" s="613"/>
      <c r="I224" s="104"/>
      <c r="J224" s="104"/>
      <c r="K224" s="405" t="s">
        <v>149</v>
      </c>
      <c r="L224" s="671">
        <v>1</v>
      </c>
      <c r="M224" s="507"/>
      <c r="N224" s="672"/>
    </row>
    <row r="225" spans="1:48" ht="39" customHeight="1" x14ac:dyDescent="0.2">
      <c r="A225" s="273"/>
      <c r="B225" s="267"/>
      <c r="C225" s="1109"/>
      <c r="D225" s="1108" t="s">
        <v>364</v>
      </c>
      <c r="E225" s="118"/>
      <c r="F225" s="1111"/>
      <c r="G225" s="1345"/>
      <c r="H225" s="932"/>
      <c r="I225" s="260"/>
      <c r="J225" s="260"/>
      <c r="K225" s="1112" t="s">
        <v>149</v>
      </c>
      <c r="L225" s="661">
        <v>1</v>
      </c>
      <c r="M225" s="508"/>
      <c r="N225" s="489"/>
    </row>
    <row r="226" spans="1:48" ht="39" customHeight="1" x14ac:dyDescent="0.2">
      <c r="A226" s="273"/>
      <c r="B226" s="267"/>
      <c r="C226" s="1341"/>
      <c r="D226" s="1350" t="s">
        <v>379</v>
      </c>
      <c r="E226" s="670"/>
      <c r="F226" s="1349"/>
      <c r="G226" s="609"/>
      <c r="H226" s="163"/>
      <c r="I226" s="106"/>
      <c r="J226" s="106"/>
      <c r="K226" s="405" t="s">
        <v>149</v>
      </c>
      <c r="L226" s="671">
        <v>1</v>
      </c>
      <c r="M226" s="507"/>
      <c r="N226" s="672"/>
    </row>
    <row r="227" spans="1:48" s="8" customFormat="1" ht="16.5" customHeight="1" thickBot="1" x14ac:dyDescent="0.25">
      <c r="A227" s="26"/>
      <c r="B227" s="812"/>
      <c r="C227" s="826"/>
      <c r="D227" s="807"/>
      <c r="E227" s="447"/>
      <c r="F227" s="69"/>
      <c r="G227" s="35" t="s">
        <v>6</v>
      </c>
      <c r="H227" s="162">
        <f>SUM(H218:H224)</f>
        <v>49.6</v>
      </c>
      <c r="I227" s="162">
        <f t="shared" ref="I227:J227" si="5">SUM(I218:I224)</f>
        <v>11.2</v>
      </c>
      <c r="J227" s="162">
        <f t="shared" si="5"/>
        <v>11.2</v>
      </c>
      <c r="K227" s="226"/>
      <c r="L227" s="41"/>
      <c r="M227" s="460"/>
      <c r="N227" s="411"/>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row>
    <row r="228" spans="1:48" ht="13.5" thickBot="1" x14ac:dyDescent="0.25">
      <c r="A228" s="28" t="s">
        <v>5</v>
      </c>
      <c r="B228" s="6" t="s">
        <v>26</v>
      </c>
      <c r="C228" s="1518" t="s">
        <v>8</v>
      </c>
      <c r="D228" s="1519"/>
      <c r="E228" s="1519"/>
      <c r="F228" s="1519"/>
      <c r="G228" s="1520"/>
      <c r="H228" s="109">
        <f>H227+H217</f>
        <v>2213.4</v>
      </c>
      <c r="I228" s="109">
        <f t="shared" ref="I228:J228" si="6">I227+I217</f>
        <v>1591.7</v>
      </c>
      <c r="J228" s="109">
        <f t="shared" si="6"/>
        <v>1506.2</v>
      </c>
      <c r="K228" s="266"/>
      <c r="L228" s="266"/>
      <c r="M228" s="266"/>
      <c r="N228" s="229"/>
    </row>
    <row r="229" spans="1:48" ht="15.75" customHeight="1" thickBot="1" x14ac:dyDescent="0.25">
      <c r="A229" s="28" t="s">
        <v>5</v>
      </c>
      <c r="B229" s="6" t="s">
        <v>34</v>
      </c>
      <c r="C229" s="1369" t="s">
        <v>43</v>
      </c>
      <c r="D229" s="1370"/>
      <c r="E229" s="1370"/>
      <c r="F229" s="1370"/>
      <c r="G229" s="1370"/>
      <c r="H229" s="1370"/>
      <c r="I229" s="908"/>
      <c r="J229" s="908"/>
      <c r="K229" s="180"/>
      <c r="L229" s="269"/>
      <c r="M229" s="269"/>
      <c r="N229" s="231"/>
    </row>
    <row r="230" spans="1:48" s="50" customFormat="1" ht="15.75" customHeight="1" x14ac:dyDescent="0.2">
      <c r="A230" s="1588" t="s">
        <v>5</v>
      </c>
      <c r="B230" s="1590" t="s">
        <v>34</v>
      </c>
      <c r="C230" s="1592" t="s">
        <v>5</v>
      </c>
      <c r="D230" s="1594" t="s">
        <v>196</v>
      </c>
      <c r="E230" s="1584" t="s">
        <v>47</v>
      </c>
      <c r="F230" s="724" t="s">
        <v>27</v>
      </c>
      <c r="G230" s="211" t="s">
        <v>24</v>
      </c>
      <c r="H230" s="213">
        <v>21.9</v>
      </c>
      <c r="I230" s="213">
        <f>200+78.1</f>
        <v>278.10000000000002</v>
      </c>
      <c r="J230" s="213">
        <v>200</v>
      </c>
      <c r="K230" s="657" t="s">
        <v>195</v>
      </c>
      <c r="L230" s="659">
        <v>785</v>
      </c>
      <c r="M230" s="659">
        <v>670</v>
      </c>
      <c r="N230" s="600">
        <v>670</v>
      </c>
    </row>
    <row r="231" spans="1:48" s="50" customFormat="1" ht="15" customHeight="1" x14ac:dyDescent="0.2">
      <c r="A231" s="1589"/>
      <c r="B231" s="1591"/>
      <c r="C231" s="1593"/>
      <c r="D231" s="1595"/>
      <c r="E231" s="1585"/>
      <c r="F231" s="714"/>
      <c r="G231" s="406" t="s">
        <v>58</v>
      </c>
      <c r="H231" s="407">
        <f>100+123.9</f>
        <v>223.9</v>
      </c>
      <c r="I231" s="407"/>
      <c r="J231" s="407"/>
      <c r="K231" s="684"/>
      <c r="L231" s="685"/>
      <c r="M231" s="685"/>
      <c r="N231" s="488"/>
    </row>
    <row r="232" spans="1:48" s="50" customFormat="1" ht="13.5" customHeight="1" thickBot="1" x14ac:dyDescent="0.25">
      <c r="A232" s="335"/>
      <c r="B232" s="336"/>
      <c r="C232" s="340"/>
      <c r="D232" s="338"/>
      <c r="E232" s="339"/>
      <c r="F232" s="290"/>
      <c r="G232" s="871" t="s">
        <v>6</v>
      </c>
      <c r="H232" s="182">
        <f>SUM(H230:H231)</f>
        <v>245.8</v>
      </c>
      <c r="I232" s="182">
        <f>SUM(I230:I231)</f>
        <v>278.10000000000002</v>
      </c>
      <c r="J232" s="182">
        <f>SUM(J230:J231)</f>
        <v>200</v>
      </c>
      <c r="K232" s="237"/>
      <c r="L232" s="214"/>
      <c r="M232" s="214"/>
      <c r="N232" s="215"/>
    </row>
    <row r="233" spans="1:48" ht="15" customHeight="1" x14ac:dyDescent="0.2">
      <c r="A233" s="712" t="s">
        <v>5</v>
      </c>
      <c r="B233" s="713" t="s">
        <v>34</v>
      </c>
      <c r="C233" s="728" t="s">
        <v>7</v>
      </c>
      <c r="D233" s="1514" t="s">
        <v>127</v>
      </c>
      <c r="E233" s="118" t="s">
        <v>47</v>
      </c>
      <c r="F233" s="714" t="s">
        <v>46</v>
      </c>
      <c r="G233" s="422" t="s">
        <v>58</v>
      </c>
      <c r="H233" s="124">
        <v>46.8</v>
      </c>
      <c r="I233" s="188"/>
      <c r="J233" s="188"/>
      <c r="K233" s="253" t="s">
        <v>94</v>
      </c>
      <c r="L233" s="254" t="s">
        <v>50</v>
      </c>
      <c r="M233" s="510"/>
      <c r="N233" s="255"/>
    </row>
    <row r="234" spans="1:48" ht="13.5" customHeight="1" x14ac:dyDescent="0.2">
      <c r="A234" s="26"/>
      <c r="B234" s="713"/>
      <c r="C234" s="69"/>
      <c r="D234" s="1514"/>
      <c r="E234" s="118"/>
      <c r="F234" s="714"/>
      <c r="G234" s="419"/>
      <c r="H234" s="104"/>
      <c r="I234" s="104"/>
      <c r="J234" s="104"/>
      <c r="K234" s="815" t="s">
        <v>306</v>
      </c>
      <c r="L234" s="256"/>
      <c r="M234" s="167"/>
      <c r="N234" s="257"/>
    </row>
    <row r="235" spans="1:48" s="50" customFormat="1" ht="16.5" customHeight="1" thickBot="1" x14ac:dyDescent="0.25">
      <c r="A235" s="27"/>
      <c r="B235" s="61"/>
      <c r="C235" s="224"/>
      <c r="D235" s="1586"/>
      <c r="E235" s="117"/>
      <c r="F235" s="441"/>
      <c r="G235" s="871" t="s">
        <v>6</v>
      </c>
      <c r="H235" s="182">
        <f>SUM(H233:H234)</f>
        <v>46.8</v>
      </c>
      <c r="I235" s="182">
        <f t="shared" ref="I235" si="7">SUM(I233:I234)</f>
        <v>0</v>
      </c>
      <c r="J235" s="182">
        <f>J233</f>
        <v>0</v>
      </c>
      <c r="K235" s="237"/>
      <c r="L235" s="258"/>
      <c r="M235" s="511"/>
      <c r="N235" s="185"/>
    </row>
    <row r="236" spans="1:48" ht="17.25" customHeight="1" x14ac:dyDescent="0.2">
      <c r="A236" s="712" t="s">
        <v>5</v>
      </c>
      <c r="B236" s="713" t="s">
        <v>34</v>
      </c>
      <c r="C236" s="728" t="s">
        <v>26</v>
      </c>
      <c r="D236" s="1514" t="s">
        <v>353</v>
      </c>
      <c r="E236" s="118" t="s">
        <v>47</v>
      </c>
      <c r="F236" s="714" t="s">
        <v>46</v>
      </c>
      <c r="G236" s="420" t="s">
        <v>24</v>
      </c>
      <c r="H236" s="260">
        <v>20</v>
      </c>
      <c r="I236" s="188"/>
      <c r="J236" s="188"/>
      <c r="K236" s="253" t="s">
        <v>234</v>
      </c>
      <c r="L236" s="254" t="s">
        <v>235</v>
      </c>
      <c r="M236" s="510"/>
      <c r="N236" s="255"/>
    </row>
    <row r="237" spans="1:48" ht="12" customHeight="1" x14ac:dyDescent="0.2">
      <c r="A237" s="26"/>
      <c r="B237" s="713"/>
      <c r="C237" s="69"/>
      <c r="D237" s="1514"/>
      <c r="E237" s="118"/>
      <c r="F237" s="714"/>
      <c r="G237" s="419"/>
      <c r="H237" s="104"/>
      <c r="I237" s="104"/>
      <c r="J237" s="104"/>
      <c r="K237" s="711"/>
      <c r="L237" s="256"/>
      <c r="M237" s="167"/>
      <c r="N237" s="257"/>
    </row>
    <row r="238" spans="1:48" s="50" customFormat="1" ht="17.25" customHeight="1" thickBot="1" x14ac:dyDescent="0.25">
      <c r="A238" s="27"/>
      <c r="B238" s="61"/>
      <c r="C238" s="224"/>
      <c r="D238" s="1586"/>
      <c r="E238" s="117"/>
      <c r="F238" s="441"/>
      <c r="G238" s="871" t="s">
        <v>6</v>
      </c>
      <c r="H238" s="182">
        <f>SUM(H236:H237)</f>
        <v>20</v>
      </c>
      <c r="I238" s="182">
        <f t="shared" ref="I238" si="8">SUM(I236:I237)</f>
        <v>0</v>
      </c>
      <c r="J238" s="182">
        <f>J236</f>
        <v>0</v>
      </c>
      <c r="K238" s="237"/>
      <c r="L238" s="258"/>
      <c r="M238" s="511"/>
      <c r="N238" s="185"/>
    </row>
    <row r="239" spans="1:48" ht="13.5" thickBot="1" x14ac:dyDescent="0.25">
      <c r="A239" s="719" t="s">
        <v>5</v>
      </c>
      <c r="B239" s="268" t="s">
        <v>34</v>
      </c>
      <c r="C239" s="1564" t="s">
        <v>8</v>
      </c>
      <c r="D239" s="1565"/>
      <c r="E239" s="1565"/>
      <c r="F239" s="1565"/>
      <c r="G239" s="1565"/>
      <c r="H239" s="109">
        <f>H235+H232+H238</f>
        <v>312.60000000000002</v>
      </c>
      <c r="I239" s="109">
        <f t="shared" ref="I239:J239" si="9">I235+I232+I238</f>
        <v>278.10000000000002</v>
      </c>
      <c r="J239" s="109">
        <f t="shared" si="9"/>
        <v>200</v>
      </c>
      <c r="K239" s="266"/>
      <c r="L239" s="266"/>
      <c r="M239" s="266"/>
      <c r="N239" s="569"/>
    </row>
    <row r="240" spans="1:48" ht="14.25" customHeight="1" thickBot="1" x14ac:dyDescent="0.25">
      <c r="A240" s="29" t="s">
        <v>5</v>
      </c>
      <c r="B240" s="1566" t="s">
        <v>9</v>
      </c>
      <c r="C240" s="1567"/>
      <c r="D240" s="1567"/>
      <c r="E240" s="1567"/>
      <c r="F240" s="1567"/>
      <c r="G240" s="1567"/>
      <c r="H240" s="300">
        <f>H239+H228+H196+H178</f>
        <v>12709.7</v>
      </c>
      <c r="I240" s="300">
        <f>I239+I228+I196+I178</f>
        <v>22919.7</v>
      </c>
      <c r="J240" s="300">
        <f>J239+J228+J196+J178</f>
        <v>22636.1</v>
      </c>
      <c r="K240" s="1568"/>
      <c r="L240" s="1569"/>
      <c r="M240" s="1569"/>
      <c r="N240" s="1570"/>
    </row>
    <row r="241" spans="1:45" ht="14.25" customHeight="1" thickBot="1" x14ac:dyDescent="0.25">
      <c r="A241" s="21" t="s">
        <v>36</v>
      </c>
      <c r="B241" s="1571" t="s">
        <v>56</v>
      </c>
      <c r="C241" s="1572"/>
      <c r="D241" s="1572"/>
      <c r="E241" s="1572"/>
      <c r="F241" s="1572"/>
      <c r="G241" s="1572"/>
      <c r="H241" s="113">
        <f t="shared" ref="H241:J241" si="10">SUM(H240)</f>
        <v>12709.7</v>
      </c>
      <c r="I241" s="301">
        <f t="shared" si="10"/>
        <v>22919.7</v>
      </c>
      <c r="J241" s="301">
        <f t="shared" si="10"/>
        <v>22636.1</v>
      </c>
      <c r="K241" s="1582"/>
      <c r="L241" s="1582"/>
      <c r="M241" s="1582"/>
      <c r="N241" s="1583"/>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c r="AN241" s="8"/>
      <c r="AO241" s="8"/>
      <c r="AP241" s="8"/>
      <c r="AQ241" s="8"/>
      <c r="AR241" s="8"/>
      <c r="AS241" s="8"/>
    </row>
    <row r="242" spans="1:45" s="10" customFormat="1" ht="16.5" customHeight="1" x14ac:dyDescent="0.2">
      <c r="A242" s="608"/>
      <c r="B242" s="395"/>
      <c r="C242" s="395"/>
      <c r="D242" s="395"/>
      <c r="E242" s="395"/>
      <c r="F242" s="395"/>
      <c r="G242" s="395"/>
      <c r="H242" s="1058"/>
      <c r="I242" s="395"/>
      <c r="J242" s="395"/>
      <c r="K242" s="395"/>
      <c r="L242" s="608"/>
      <c r="M242" s="608"/>
      <c r="N242" s="608"/>
    </row>
    <row r="243" spans="1:45" s="10" customFormat="1" ht="17.25" customHeight="1" x14ac:dyDescent="0.2">
      <c r="A243" s="608"/>
      <c r="B243" s="541"/>
      <c r="C243" s="541"/>
      <c r="D243" s="541"/>
      <c r="E243" s="541"/>
      <c r="F243" s="541"/>
      <c r="G243" s="541"/>
      <c r="H243" s="1059"/>
      <c r="I243" s="541"/>
      <c r="J243" s="541"/>
      <c r="K243" s="541"/>
      <c r="L243" s="608"/>
      <c r="M243" s="608"/>
      <c r="N243" s="608"/>
    </row>
    <row r="244" spans="1:45" s="11" customFormat="1" ht="14.25" customHeight="1" thickBot="1" x14ac:dyDescent="0.25">
      <c r="A244" s="1551" t="s">
        <v>13</v>
      </c>
      <c r="B244" s="1551"/>
      <c r="C244" s="1551"/>
      <c r="D244" s="1551"/>
      <c r="E244" s="1551"/>
      <c r="F244" s="1551"/>
      <c r="G244" s="1551"/>
      <c r="H244" s="1057"/>
      <c r="I244" s="707"/>
      <c r="J244" s="707"/>
      <c r="K244" s="18"/>
      <c r="L244" s="18"/>
      <c r="M244" s="18"/>
      <c r="N244" s="18"/>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row>
    <row r="245" spans="1:45" ht="57" customHeight="1" thickBot="1" x14ac:dyDescent="0.25">
      <c r="A245" s="1552" t="s">
        <v>10</v>
      </c>
      <c r="B245" s="1553"/>
      <c r="C245" s="1553"/>
      <c r="D245" s="1553"/>
      <c r="E245" s="1553"/>
      <c r="F245" s="1553"/>
      <c r="G245" s="1554"/>
      <c r="H245" s="542" t="s">
        <v>329</v>
      </c>
      <c r="I245" s="238" t="s">
        <v>162</v>
      </c>
      <c r="J245" s="238" t="s">
        <v>224</v>
      </c>
      <c r="K245" s="2"/>
      <c r="L245" s="2"/>
      <c r="M245" s="2"/>
      <c r="N245" s="2"/>
      <c r="O245" s="8"/>
      <c r="P245" s="8"/>
      <c r="Q245" s="8"/>
      <c r="R245" s="8"/>
      <c r="S245" s="8"/>
      <c r="T245" s="8"/>
      <c r="U245" s="8"/>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row>
    <row r="246" spans="1:45" ht="14.25" customHeight="1" x14ac:dyDescent="0.2">
      <c r="A246" s="1555" t="s">
        <v>14</v>
      </c>
      <c r="B246" s="1556"/>
      <c r="C246" s="1556"/>
      <c r="D246" s="1556"/>
      <c r="E246" s="1556"/>
      <c r="F246" s="1556"/>
      <c r="G246" s="1557"/>
      <c r="H246" s="412">
        <f>H247+H256+H257+H258+H255</f>
        <v>11907.2</v>
      </c>
      <c r="I246" s="412">
        <f>I247+I256+I257+I258+I255</f>
        <v>19389.3</v>
      </c>
      <c r="J246" s="412">
        <f>J247+J256+J257+J258+J255</f>
        <v>16369.6</v>
      </c>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row>
    <row r="247" spans="1:45" ht="14.25" customHeight="1" x14ac:dyDescent="0.2">
      <c r="A247" s="1558" t="s">
        <v>88</v>
      </c>
      <c r="B247" s="1559"/>
      <c r="C247" s="1559"/>
      <c r="D247" s="1559"/>
      <c r="E247" s="1559"/>
      <c r="F247" s="1559"/>
      <c r="G247" s="1560"/>
      <c r="H247" s="92">
        <f>SUM(H248:H254)</f>
        <v>9101.6</v>
      </c>
      <c r="I247" s="92">
        <f>SUM(I248:I254)</f>
        <v>19389.3</v>
      </c>
      <c r="J247" s="92">
        <f>SUM(J248:J254)</f>
        <v>16369.6</v>
      </c>
      <c r="K247" s="299"/>
      <c r="O247" s="8"/>
      <c r="P247" s="8"/>
      <c r="Q247" s="8"/>
      <c r="R247" s="8"/>
      <c r="S247" s="8"/>
      <c r="T247" s="8"/>
      <c r="U247" s="8"/>
      <c r="V247" s="8"/>
      <c r="W247" s="8"/>
      <c r="X247" s="8"/>
      <c r="Y247" s="8"/>
      <c r="Z247" s="8"/>
      <c r="AA247" s="8"/>
      <c r="AB247" s="8"/>
      <c r="AC247" s="8"/>
      <c r="AD247" s="8"/>
      <c r="AE247" s="8"/>
      <c r="AF247" s="8"/>
      <c r="AG247" s="8"/>
      <c r="AH247" s="8"/>
      <c r="AI247" s="8"/>
      <c r="AJ247" s="8"/>
      <c r="AK247" s="8"/>
      <c r="AL247" s="8"/>
      <c r="AM247" s="8"/>
      <c r="AN247" s="8"/>
      <c r="AO247" s="8"/>
      <c r="AP247" s="8"/>
      <c r="AQ247" s="8"/>
      <c r="AR247" s="8"/>
      <c r="AS247" s="8"/>
    </row>
    <row r="248" spans="1:45" ht="14.25" customHeight="1" x14ac:dyDescent="0.2">
      <c r="A248" s="1561" t="s">
        <v>18</v>
      </c>
      <c r="B248" s="1562"/>
      <c r="C248" s="1562"/>
      <c r="D248" s="1562"/>
      <c r="E248" s="1562"/>
      <c r="F248" s="1562"/>
      <c r="G248" s="1563"/>
      <c r="H248" s="104">
        <f>SUMIF(G12:G241,"SB",H12:H241)</f>
        <v>9056.6</v>
      </c>
      <c r="I248" s="104">
        <f>SUMIF(G12:G241,"SB",I12:I241)</f>
        <v>13074.1</v>
      </c>
      <c r="J248" s="104">
        <f>SUMIF(G12:G241,"SB",J12:J241)</f>
        <v>13304.2</v>
      </c>
      <c r="K248" s="14"/>
      <c r="O248" s="8"/>
      <c r="P248" s="8"/>
      <c r="Q248" s="8"/>
      <c r="R248" s="8"/>
      <c r="S248" s="8"/>
      <c r="T248" s="8"/>
      <c r="U248" s="8"/>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row>
    <row r="249" spans="1:45" ht="14.25" customHeight="1" x14ac:dyDescent="0.2">
      <c r="A249" s="1542" t="s">
        <v>19</v>
      </c>
      <c r="B249" s="1543"/>
      <c r="C249" s="1543"/>
      <c r="D249" s="1543"/>
      <c r="E249" s="1543"/>
      <c r="F249" s="1543"/>
      <c r="G249" s="1544"/>
      <c r="H249" s="133">
        <f>SUMIF(G14:G241,"SB(SP)",H14:H241)</f>
        <v>34.700000000000003</v>
      </c>
      <c r="I249" s="133">
        <f>SUMIF(G19:G241,"SB(SP)",I19:I241)</f>
        <v>34.700000000000003</v>
      </c>
      <c r="J249" s="133">
        <f>SUMIF(G19:G241,"SB(SP)",J19:J241)</f>
        <v>34.700000000000003</v>
      </c>
      <c r="K249" s="19"/>
    </row>
    <row r="250" spans="1:45" ht="12.75" customHeight="1" x14ac:dyDescent="0.2">
      <c r="A250" s="1542" t="s">
        <v>66</v>
      </c>
      <c r="B250" s="1543"/>
      <c r="C250" s="1543"/>
      <c r="D250" s="1543"/>
      <c r="E250" s="1543"/>
      <c r="F250" s="1543"/>
      <c r="G250" s="1544"/>
      <c r="H250" s="133">
        <f>SUMIF(G14:G241,"SB(VR)",H14:H241)</f>
        <v>0</v>
      </c>
      <c r="I250" s="133">
        <f>SUMIF(G14:G241,"SB(VR)",I14:I241)</f>
        <v>0</v>
      </c>
      <c r="J250" s="133">
        <f>SUMIF(G14:G241,"SB(VR)",J14:J241)</f>
        <v>0</v>
      </c>
      <c r="K250" s="16"/>
      <c r="L250" s="1"/>
      <c r="M250" s="1"/>
      <c r="N250" s="1"/>
    </row>
    <row r="251" spans="1:45" x14ac:dyDescent="0.2">
      <c r="A251" s="1542" t="s">
        <v>20</v>
      </c>
      <c r="B251" s="1543"/>
      <c r="C251" s="1543"/>
      <c r="D251" s="1543"/>
      <c r="E251" s="1543"/>
      <c r="F251" s="1543"/>
      <c r="G251" s="1544"/>
      <c r="H251" s="133">
        <f>SUMIF(G14:G241,"SB(P)",H14:H241)</f>
        <v>0</v>
      </c>
      <c r="I251" s="133">
        <f>SUMIF(G14:G241,"SB(P)",I14:I241)</f>
        <v>0</v>
      </c>
      <c r="J251" s="133">
        <f>SUMIF(G14:G241,"SB(P)",J14:J241)</f>
        <v>0</v>
      </c>
      <c r="K251" s="16"/>
      <c r="L251" s="1"/>
      <c r="M251" s="1"/>
      <c r="N251" s="1"/>
    </row>
    <row r="252" spans="1:45" x14ac:dyDescent="0.2">
      <c r="A252" s="1542" t="s">
        <v>91</v>
      </c>
      <c r="B252" s="1543"/>
      <c r="C252" s="1543"/>
      <c r="D252" s="1543"/>
      <c r="E252" s="1543"/>
      <c r="F252" s="1543"/>
      <c r="G252" s="1544"/>
      <c r="H252" s="133">
        <f>SUMIF(G15:G241,"SB(VB)",H15:H241)</f>
        <v>0.9</v>
      </c>
      <c r="I252" s="133">
        <f>SUMIF(G16:G241,"SB(VB)",I16:I241)</f>
        <v>509.2</v>
      </c>
      <c r="J252" s="133">
        <f>SUMIF(G16:G241,"SB(VB)",J16:J241)</f>
        <v>245.8</v>
      </c>
    </row>
    <row r="253" spans="1:45" x14ac:dyDescent="0.2">
      <c r="A253" s="1545" t="s">
        <v>168</v>
      </c>
      <c r="B253" s="1546"/>
      <c r="C253" s="1546"/>
      <c r="D253" s="1546"/>
      <c r="E253" s="1546"/>
      <c r="F253" s="1546"/>
      <c r="G253" s="1547"/>
      <c r="H253" s="133">
        <f>SUMIF(G14:G241,"SB(KPP)",H14:H241)</f>
        <v>0</v>
      </c>
      <c r="I253" s="133">
        <f>SUMIF(G17:G235,"SB(KPP)",I17:I235)</f>
        <v>0</v>
      </c>
      <c r="J253" s="133">
        <f>SUMIF(G17:G235,"SB(KPP)",J17:J235)</f>
        <v>0</v>
      </c>
      <c r="K253" s="46"/>
      <c r="L253" s="46"/>
      <c r="M253" s="46"/>
      <c r="N253" s="46"/>
    </row>
    <row r="254" spans="1:45" ht="27.75" customHeight="1" x14ac:dyDescent="0.2">
      <c r="A254" s="1548" t="s">
        <v>217</v>
      </c>
      <c r="B254" s="1549"/>
      <c r="C254" s="1549"/>
      <c r="D254" s="1549"/>
      <c r="E254" s="1549"/>
      <c r="F254" s="1549"/>
      <c r="G254" s="1550"/>
      <c r="H254" s="133">
        <f>SUMIF(G14:G239,"SB(ES)",H14:H239)</f>
        <v>9.4</v>
      </c>
      <c r="I254" s="133">
        <f>SUMIF(G17:G240,"SB(ES)",I17:I240)</f>
        <v>5771.3</v>
      </c>
      <c r="J254" s="133">
        <f>SUMIF(G17:G240,"SB(ES)",J17:J240)</f>
        <v>2784.9</v>
      </c>
    </row>
    <row r="255" spans="1:45" ht="14.25" customHeight="1" x14ac:dyDescent="0.2">
      <c r="A255" s="1533" t="s">
        <v>59</v>
      </c>
      <c r="B255" s="1534"/>
      <c r="C255" s="1534"/>
      <c r="D255" s="1534"/>
      <c r="E255" s="1534"/>
      <c r="F255" s="1534"/>
      <c r="G255" s="1535"/>
      <c r="H255" s="276">
        <f>SUMIF(G14:G235,"SB(L)",H14:H235)</f>
        <v>2801.2</v>
      </c>
      <c r="I255" s="276">
        <f>SUMIF(G19:G235,"SB(L)",I19:I235)</f>
        <v>0</v>
      </c>
      <c r="J255" s="276">
        <f>SUMIF(H19:H235,"SB(L)",J19:J235)</f>
        <v>0</v>
      </c>
    </row>
    <row r="256" spans="1:45" x14ac:dyDescent="0.2">
      <c r="A256" s="1533" t="s">
        <v>89</v>
      </c>
      <c r="B256" s="1534"/>
      <c r="C256" s="1534"/>
      <c r="D256" s="1534"/>
      <c r="E256" s="1534"/>
      <c r="F256" s="1534"/>
      <c r="G256" s="1535"/>
      <c r="H256" s="539">
        <f>SUMIF(G19:G241,"SB(SPL)",H19:H241)</f>
        <v>4.4000000000000004</v>
      </c>
      <c r="I256" s="539">
        <f>SUMIF(G19:G241,"SB(SPL)",I19:I241)</f>
        <v>0</v>
      </c>
      <c r="J256" s="94">
        <f>SUMIF(H19:H241,"SB(SPL)",J19:J241)</f>
        <v>0</v>
      </c>
    </row>
    <row r="257" spans="1:48" x14ac:dyDescent="0.2">
      <c r="A257" s="1533" t="s">
        <v>92</v>
      </c>
      <c r="B257" s="1534"/>
      <c r="C257" s="1534"/>
      <c r="D257" s="1534"/>
      <c r="E257" s="1534"/>
      <c r="F257" s="1534"/>
      <c r="G257" s="1535"/>
      <c r="H257" s="539">
        <f>SUMIF(G14:G241,"SB(ŽPL)",H14:H241)</f>
        <v>0</v>
      </c>
      <c r="I257" s="539">
        <f>SUMIF(G14:G241,"SB(ŽPL)",I14:I241)</f>
        <v>0</v>
      </c>
      <c r="J257" s="94">
        <f>SUMIF(H14:H241,"SB(ŽPL)",J14:J241)</f>
        <v>0</v>
      </c>
    </row>
    <row r="258" spans="1:48" ht="12" customHeight="1" x14ac:dyDescent="0.2">
      <c r="A258" s="1533" t="s">
        <v>90</v>
      </c>
      <c r="B258" s="1534"/>
      <c r="C258" s="1534"/>
      <c r="D258" s="1534"/>
      <c r="E258" s="1534"/>
      <c r="F258" s="1534"/>
      <c r="G258" s="1535"/>
      <c r="H258" s="276">
        <f>SUMIF(G14:G241,"SB(VRL)",H14:H241)</f>
        <v>0</v>
      </c>
      <c r="I258" s="276">
        <f>SUMIF(G19:G241,"SB(VRL)",I19:I241)</f>
        <v>0</v>
      </c>
      <c r="J258" s="276">
        <f>SUMIF(H19:H241,"SB(VRL)",J19:J241)</f>
        <v>0</v>
      </c>
    </row>
    <row r="259" spans="1:48" x14ac:dyDescent="0.2">
      <c r="A259" s="1536" t="s">
        <v>15</v>
      </c>
      <c r="B259" s="1537"/>
      <c r="C259" s="1537"/>
      <c r="D259" s="1537"/>
      <c r="E259" s="1537"/>
      <c r="F259" s="1537"/>
      <c r="G259" s="1538"/>
      <c r="H259" s="544">
        <f t="shared" ref="H259:J259" si="11">SUM(H260:H263)</f>
        <v>802.5</v>
      </c>
      <c r="I259" s="544">
        <f t="shared" si="11"/>
        <v>3530.4</v>
      </c>
      <c r="J259" s="693">
        <f t="shared" si="11"/>
        <v>6266.5</v>
      </c>
    </row>
    <row r="260" spans="1:48" x14ac:dyDescent="0.2">
      <c r="A260" s="1539" t="s">
        <v>133</v>
      </c>
      <c r="B260" s="1540"/>
      <c r="C260" s="1540"/>
      <c r="D260" s="1540"/>
      <c r="E260" s="1540"/>
      <c r="F260" s="1540"/>
      <c r="G260" s="1541"/>
      <c r="H260" s="133">
        <f>SUMIF(G17:G241,"KVJUD",H17:H241)</f>
        <v>0</v>
      </c>
      <c r="I260" s="133">
        <f>SUMIF(G19:G241,"KVJUD",I17:I241)</f>
        <v>0</v>
      </c>
      <c r="J260" s="133">
        <f>SUMIF(G17:G241,"KVJUD",J17:J241)</f>
        <v>0</v>
      </c>
    </row>
    <row r="261" spans="1:48" ht="13.5" customHeight="1" x14ac:dyDescent="0.2">
      <c r="A261" s="1542" t="s">
        <v>22</v>
      </c>
      <c r="B261" s="1543"/>
      <c r="C261" s="1543"/>
      <c r="D261" s="1543"/>
      <c r="E261" s="1543"/>
      <c r="F261" s="1543"/>
      <c r="G261" s="1544"/>
      <c r="H261" s="133">
        <f>SUMIF(G14:G241,"LRVB",H14:H241)</f>
        <v>65.099999999999994</v>
      </c>
      <c r="I261" s="133">
        <f>SUMIF(G14:G241,"LRVB",I14:I241)</f>
        <v>210.3</v>
      </c>
      <c r="J261" s="133">
        <f>SUMIF(G14:G241,"LRVB",J14:J241)</f>
        <v>432.1</v>
      </c>
    </row>
    <row r="262" spans="1:48" ht="14.25" customHeight="1" x14ac:dyDescent="0.2">
      <c r="A262" s="1548" t="s">
        <v>21</v>
      </c>
      <c r="B262" s="1549"/>
      <c r="C262" s="1549"/>
      <c r="D262" s="1549"/>
      <c r="E262" s="1549"/>
      <c r="F262" s="1549"/>
      <c r="G262" s="1550"/>
      <c r="H262" s="93">
        <f>SUMIF(G19:G239,"ES",H19:H239)</f>
        <v>737.4</v>
      </c>
      <c r="I262" s="93">
        <f>SUMIF(G19:G235,"ES",I19:I235)</f>
        <v>2382.8000000000002</v>
      </c>
      <c r="J262" s="93">
        <f>SUMIF(G19:G235,"ES",J19:J235)</f>
        <v>4897.1000000000004</v>
      </c>
    </row>
    <row r="263" spans="1:48" ht="15.75" customHeight="1" x14ac:dyDescent="0.2">
      <c r="A263" s="1542" t="s">
        <v>23</v>
      </c>
      <c r="B263" s="1543"/>
      <c r="C263" s="1543"/>
      <c r="D263" s="1543"/>
      <c r="E263" s="1543"/>
      <c r="F263" s="1543"/>
      <c r="G263" s="1544"/>
      <c r="H263" s="133">
        <f>SUMIF(G14:G241,"Kt",H14:H241)</f>
        <v>0</v>
      </c>
      <c r="I263" s="133">
        <f>SUMIF(G14:G241,"Kt",I14:I241)</f>
        <v>937.3</v>
      </c>
      <c r="J263" s="133">
        <f>SUMIF(G14:G241,"Kt",J14:J241)</f>
        <v>937.3</v>
      </c>
    </row>
    <row r="264" spans="1:48" s="8" customFormat="1" ht="15" customHeight="1" thickBot="1" x14ac:dyDescent="0.25">
      <c r="A264" s="1574" t="s">
        <v>16</v>
      </c>
      <c r="B264" s="1575"/>
      <c r="C264" s="1575"/>
      <c r="D264" s="1575"/>
      <c r="E264" s="1575"/>
      <c r="F264" s="1575"/>
      <c r="G264" s="1576"/>
      <c r="H264" s="414">
        <f>SUM(H246,H259)</f>
        <v>12709.7</v>
      </c>
      <c r="I264" s="414">
        <f>SUM(I246,I259)</f>
        <v>22919.7</v>
      </c>
      <c r="J264" s="414">
        <f>SUM(J246,J259)</f>
        <v>22636.1</v>
      </c>
      <c r="K264" s="5"/>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row>
    <row r="265" spans="1:48" s="8" customFormat="1" ht="9.75" customHeight="1" x14ac:dyDescent="0.2">
      <c r="A265" s="5"/>
      <c r="B265" s="5"/>
      <c r="C265" s="5"/>
      <c r="D265" s="5"/>
      <c r="E265" s="13"/>
      <c r="F265" s="735"/>
      <c r="G265" s="20"/>
      <c r="H265" s="10"/>
      <c r="I265" s="10"/>
      <c r="J265" s="10"/>
      <c r="K265" s="10"/>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row>
    <row r="266" spans="1:48" s="8" customFormat="1" x14ac:dyDescent="0.2">
      <c r="A266" s="5"/>
      <c r="B266" s="5"/>
      <c r="C266" s="5"/>
      <c r="D266" s="5"/>
      <c r="E266" s="1365" t="s">
        <v>328</v>
      </c>
      <c r="F266" s="1365"/>
      <c r="G266" s="1365"/>
      <c r="H266" s="1365"/>
      <c r="I266" s="1365"/>
      <c r="J266" s="1365"/>
      <c r="K266" s="62"/>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row>
    <row r="267" spans="1:48" s="8" customFormat="1" x14ac:dyDescent="0.2">
      <c r="A267" s="5"/>
      <c r="B267" s="5"/>
      <c r="C267" s="5"/>
      <c r="D267" s="5"/>
      <c r="E267" s="13"/>
      <c r="F267" s="735"/>
      <c r="G267" s="20"/>
      <c r="H267" s="643"/>
      <c r="I267" s="643"/>
      <c r="J267" s="643"/>
      <c r="K267" s="10"/>
      <c r="L267" s="10"/>
      <c r="M267" s="10"/>
      <c r="N267" s="10"/>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row>
    <row r="268" spans="1:48" s="8" customFormat="1" x14ac:dyDescent="0.2">
      <c r="A268" s="5"/>
      <c r="B268" s="5"/>
      <c r="C268" s="5"/>
      <c r="D268" s="5"/>
      <c r="E268" s="13"/>
      <c r="F268" s="735"/>
      <c r="G268" s="20"/>
      <c r="H268" s="15"/>
      <c r="I268" s="15"/>
      <c r="J268" s="15"/>
      <c r="K268" s="5"/>
      <c r="L268" s="5"/>
      <c r="M268" s="5"/>
      <c r="N268" s="5"/>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row>
    <row r="269" spans="1:48" s="8" customFormat="1" x14ac:dyDescent="0.2">
      <c r="A269" s="5"/>
      <c r="B269" s="5"/>
      <c r="C269" s="5"/>
      <c r="D269" s="5"/>
      <c r="E269" s="13"/>
      <c r="F269" s="735"/>
      <c r="G269" s="20"/>
      <c r="H269" s="15"/>
      <c r="I269" s="5"/>
      <c r="J269" s="5"/>
      <c r="K269" s="5"/>
      <c r="L269" s="5"/>
      <c r="M269" s="5"/>
      <c r="N269" s="5"/>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row>
    <row r="270" spans="1:48" s="8" customFormat="1" x14ac:dyDescent="0.2">
      <c r="A270" s="5"/>
      <c r="B270" s="5"/>
      <c r="C270" s="5"/>
      <c r="D270" s="5"/>
      <c r="E270" s="13"/>
      <c r="F270" s="735"/>
      <c r="G270" s="20"/>
      <c r="H270" s="46"/>
      <c r="I270" s="46"/>
      <c r="J270" s="46"/>
      <c r="K270" s="5"/>
      <c r="L270" s="5"/>
      <c r="M270" s="5"/>
      <c r="N270" s="5"/>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row>
  </sheetData>
  <mergeCells count="205">
    <mergeCell ref="K52:K53"/>
    <mergeCell ref="E52:E55"/>
    <mergeCell ref="A262:G262"/>
    <mergeCell ref="A263:G263"/>
    <mergeCell ref="A264:G264"/>
    <mergeCell ref="A6:M6"/>
    <mergeCell ref="A7:M7"/>
    <mergeCell ref="A8:M8"/>
    <mergeCell ref="J9:M9"/>
    <mergeCell ref="K241:N241"/>
    <mergeCell ref="E230:E231"/>
    <mergeCell ref="D233:D235"/>
    <mergeCell ref="D236:D238"/>
    <mergeCell ref="D211:D215"/>
    <mergeCell ref="C228:G228"/>
    <mergeCell ref="A230:A231"/>
    <mergeCell ref="B230:B231"/>
    <mergeCell ref="C230:C231"/>
    <mergeCell ref="D230:D231"/>
    <mergeCell ref="E206:E207"/>
    <mergeCell ref="D185:D189"/>
    <mergeCell ref="K185:K186"/>
    <mergeCell ref="C196:G196"/>
    <mergeCell ref="A208:A210"/>
    <mergeCell ref="K1:N1"/>
    <mergeCell ref="K2:N2"/>
    <mergeCell ref="A256:G256"/>
    <mergeCell ref="A257:G257"/>
    <mergeCell ref="A258:G258"/>
    <mergeCell ref="A259:G259"/>
    <mergeCell ref="A260:G260"/>
    <mergeCell ref="A261:G261"/>
    <mergeCell ref="A250:G250"/>
    <mergeCell ref="A251:G251"/>
    <mergeCell ref="A252:G252"/>
    <mergeCell ref="A253:G253"/>
    <mergeCell ref="A254:G254"/>
    <mergeCell ref="A255:G255"/>
    <mergeCell ref="A244:G244"/>
    <mergeCell ref="A245:G245"/>
    <mergeCell ref="A246:G246"/>
    <mergeCell ref="A247:G247"/>
    <mergeCell ref="A248:G248"/>
    <mergeCell ref="A249:G249"/>
    <mergeCell ref="C239:G239"/>
    <mergeCell ref="B240:G240"/>
    <mergeCell ref="K240:N240"/>
    <mergeCell ref="B241:G241"/>
    <mergeCell ref="B208:B210"/>
    <mergeCell ref="C208:C210"/>
    <mergeCell ref="D208:D210"/>
    <mergeCell ref="E208:E210"/>
    <mergeCell ref="C197:M197"/>
    <mergeCell ref="D200:D201"/>
    <mergeCell ref="D203:D204"/>
    <mergeCell ref="K203:K204"/>
    <mergeCell ref="A206:A207"/>
    <mergeCell ref="B206:B207"/>
    <mergeCell ref="C206:C207"/>
    <mergeCell ref="D206:D207"/>
    <mergeCell ref="D198:D199"/>
    <mergeCell ref="D175:D176"/>
    <mergeCell ref="E175:E176"/>
    <mergeCell ref="F175:F176"/>
    <mergeCell ref="D166:D168"/>
    <mergeCell ref="E166:E168"/>
    <mergeCell ref="K167:K168"/>
    <mergeCell ref="D169:D170"/>
    <mergeCell ref="C179:N179"/>
    <mergeCell ref="D182:D184"/>
    <mergeCell ref="D171:D172"/>
    <mergeCell ref="K171:K172"/>
    <mergeCell ref="E169:E171"/>
    <mergeCell ref="C178:G178"/>
    <mergeCell ref="D160:D162"/>
    <mergeCell ref="E160:E162"/>
    <mergeCell ref="K161:K162"/>
    <mergeCell ref="F162:F164"/>
    <mergeCell ref="D163:D165"/>
    <mergeCell ref="E163:E165"/>
    <mergeCell ref="K164:K165"/>
    <mergeCell ref="F165:F167"/>
    <mergeCell ref="K153:K155"/>
    <mergeCell ref="D156:D159"/>
    <mergeCell ref="E156:E159"/>
    <mergeCell ref="F156:F159"/>
    <mergeCell ref="F136:F138"/>
    <mergeCell ref="D149:D151"/>
    <mergeCell ref="E149:E151"/>
    <mergeCell ref="F149:F151"/>
    <mergeCell ref="D152:D155"/>
    <mergeCell ref="E152:E155"/>
    <mergeCell ref="F152:F155"/>
    <mergeCell ref="F139:F141"/>
    <mergeCell ref="K139:K140"/>
    <mergeCell ref="D142:D147"/>
    <mergeCell ref="K142:K147"/>
    <mergeCell ref="D112:D113"/>
    <mergeCell ref="A139:A141"/>
    <mergeCell ref="B139:B141"/>
    <mergeCell ref="C139:C141"/>
    <mergeCell ref="D139:D141"/>
    <mergeCell ref="E139:E141"/>
    <mergeCell ref="A136:A138"/>
    <mergeCell ref="B136:B138"/>
    <mergeCell ref="C136:C138"/>
    <mergeCell ref="D136:D138"/>
    <mergeCell ref="E136:E138"/>
    <mergeCell ref="D119:D122"/>
    <mergeCell ref="D123:D124"/>
    <mergeCell ref="C125:C128"/>
    <mergeCell ref="C129:C134"/>
    <mergeCell ref="K115:K116"/>
    <mergeCell ref="M115:M116"/>
    <mergeCell ref="N115:N116"/>
    <mergeCell ref="A117:A118"/>
    <mergeCell ref="B117:B118"/>
    <mergeCell ref="C117:C118"/>
    <mergeCell ref="D117:D118"/>
    <mergeCell ref="E117:E118"/>
    <mergeCell ref="F117:F118"/>
    <mergeCell ref="A115:A116"/>
    <mergeCell ref="B115:B116"/>
    <mergeCell ref="C115:C116"/>
    <mergeCell ref="D115:D116"/>
    <mergeCell ref="E115:E116"/>
    <mergeCell ref="F115:F116"/>
    <mergeCell ref="K95:K96"/>
    <mergeCell ref="F67:F68"/>
    <mergeCell ref="K60:K61"/>
    <mergeCell ref="D73:D74"/>
    <mergeCell ref="D82:D83"/>
    <mergeCell ref="A109:A111"/>
    <mergeCell ref="B109:B111"/>
    <mergeCell ref="C109:C111"/>
    <mergeCell ref="D109:D111"/>
    <mergeCell ref="E109:E111"/>
    <mergeCell ref="D97:D100"/>
    <mergeCell ref="E97:E101"/>
    <mergeCell ref="D78:D81"/>
    <mergeCell ref="E82:E83"/>
    <mergeCell ref="K100:K101"/>
    <mergeCell ref="D106:D108"/>
    <mergeCell ref="D102:D103"/>
    <mergeCell ref="F109:F111"/>
    <mergeCell ref="D63:D65"/>
    <mergeCell ref="A69:A72"/>
    <mergeCell ref="B69:B72"/>
    <mergeCell ref="C69:C72"/>
    <mergeCell ref="D69:D72"/>
    <mergeCell ref="A67:A68"/>
    <mergeCell ref="B67:B68"/>
    <mergeCell ref="C67:C68"/>
    <mergeCell ref="D67:D68"/>
    <mergeCell ref="D46:D47"/>
    <mergeCell ref="E46:E49"/>
    <mergeCell ref="D48:D49"/>
    <mergeCell ref="E67:E68"/>
    <mergeCell ref="D95:D96"/>
    <mergeCell ref="F48:F49"/>
    <mergeCell ref="E21:E26"/>
    <mergeCell ref="F21:F26"/>
    <mergeCell ref="D58:D59"/>
    <mergeCell ref="E58:E59"/>
    <mergeCell ref="D60:D61"/>
    <mergeCell ref="E60:E61"/>
    <mergeCell ref="I10:I12"/>
    <mergeCell ref="J10:J12"/>
    <mergeCell ref="D54:D55"/>
    <mergeCell ref="K10:N10"/>
    <mergeCell ref="K11:K12"/>
    <mergeCell ref="L11:N11"/>
    <mergeCell ref="A13:N13"/>
    <mergeCell ref="E10:E12"/>
    <mergeCell ref="F10:F12"/>
    <mergeCell ref="G10:G12"/>
    <mergeCell ref="H10:H12"/>
    <mergeCell ref="A10:A12"/>
    <mergeCell ref="B10:B12"/>
    <mergeCell ref="C10:C12"/>
    <mergeCell ref="D10:D12"/>
    <mergeCell ref="E266:J266"/>
    <mergeCell ref="K157:K158"/>
    <mergeCell ref="D180:D181"/>
    <mergeCell ref="C229:H229"/>
    <mergeCell ref="K25:K26"/>
    <mergeCell ref="D27:D30"/>
    <mergeCell ref="E27:E45"/>
    <mergeCell ref="A14:N14"/>
    <mergeCell ref="B15:N15"/>
    <mergeCell ref="C16:N16"/>
    <mergeCell ref="D19:D20"/>
    <mergeCell ref="A21:A26"/>
    <mergeCell ref="D17:D18"/>
    <mergeCell ref="F54:F55"/>
    <mergeCell ref="D56:D57"/>
    <mergeCell ref="E56:E57"/>
    <mergeCell ref="F56:F57"/>
    <mergeCell ref="B21:B26"/>
    <mergeCell ref="C21:C26"/>
    <mergeCell ref="D21:D26"/>
    <mergeCell ref="D50:D51"/>
    <mergeCell ref="E50:E51"/>
    <mergeCell ref="F50:F51"/>
    <mergeCell ref="D52:D53"/>
  </mergeCells>
  <printOptions horizontalCentered="1"/>
  <pageMargins left="0.78740157480314965" right="0.39370078740157483" top="0.59055118110236227" bottom="0.39370078740157483" header="0" footer="0"/>
  <pageSetup paperSize="9" scale="67" orientation="portrait" r:id="rId1"/>
  <rowBreaks count="2" manualBreakCount="2">
    <brk id="122" max="13" man="1"/>
    <brk id="22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68"/>
  <sheetViews>
    <sheetView zoomScaleNormal="100" zoomScaleSheetLayoutView="100" workbookViewId="0">
      <selection activeCell="Y72" sqref="Y72"/>
    </sheetView>
  </sheetViews>
  <sheetFormatPr defaultRowHeight="12.75" x14ac:dyDescent="0.2"/>
  <cols>
    <col min="1" max="3" width="2.7109375" style="5" customWidth="1"/>
    <col min="4" max="4" width="34.7109375" style="5" customWidth="1"/>
    <col min="5" max="5" width="3.5703125" style="13" customWidth="1"/>
    <col min="6" max="6" width="4.140625" style="941" customWidth="1"/>
    <col min="7" max="7" width="8.28515625" style="20" customWidth="1"/>
    <col min="8" max="8" width="8.85546875" style="5" customWidth="1"/>
    <col min="9" max="9" width="9.5703125" style="5" customWidth="1"/>
    <col min="10" max="16" width="8.85546875" style="5" customWidth="1"/>
    <col min="17" max="17" width="37.7109375" style="5" customWidth="1"/>
    <col min="18" max="20" width="4.5703125" style="5" customWidth="1"/>
    <col min="21" max="21" width="36" style="5" customWidth="1"/>
    <col min="22" max="22" width="9.5703125" style="3" customWidth="1"/>
    <col min="23" max="16384" width="9.140625" style="3"/>
  </cols>
  <sheetData>
    <row r="1" spans="1:21" ht="18" customHeight="1" x14ac:dyDescent="0.2">
      <c r="F1" s="275"/>
      <c r="O1" s="473"/>
      <c r="P1" s="474"/>
      <c r="Q1" s="474"/>
      <c r="R1" s="474"/>
      <c r="S1" s="475"/>
      <c r="T1" s="3"/>
      <c r="U1" s="1211" t="s">
        <v>222</v>
      </c>
    </row>
    <row r="2" spans="1:21" s="46" customFormat="1" ht="12" customHeight="1" x14ac:dyDescent="0.2">
      <c r="A2" s="263"/>
      <c r="B2" s="264"/>
      <c r="C2" s="394"/>
      <c r="E2" s="265"/>
      <c r="F2" s="43"/>
      <c r="G2" s="43"/>
      <c r="H2" s="15"/>
      <c r="I2" s="15"/>
      <c r="J2" s="15"/>
      <c r="K2" s="15"/>
      <c r="L2" s="15"/>
      <c r="M2" s="15"/>
      <c r="N2" s="708"/>
      <c r="O2" s="708"/>
      <c r="P2" s="708"/>
      <c r="Q2" s="708"/>
      <c r="R2" s="708"/>
      <c r="S2" s="708"/>
    </row>
    <row r="3" spans="1:21" ht="11.25" customHeight="1" x14ac:dyDescent="0.2">
      <c r="C3" s="10"/>
      <c r="F3" s="275"/>
      <c r="N3" s="274"/>
      <c r="O3" s="274"/>
      <c r="P3" s="274"/>
      <c r="Q3" s="274"/>
      <c r="R3" s="274"/>
      <c r="S3" s="274"/>
      <c r="T3" s="3"/>
      <c r="U3" s="3"/>
    </row>
    <row r="4" spans="1:21" s="50" customFormat="1" ht="15.75" x14ac:dyDescent="0.2">
      <c r="A4" s="1577" t="s">
        <v>307</v>
      </c>
      <c r="B4" s="1577"/>
      <c r="C4" s="1577"/>
      <c r="D4" s="1577"/>
      <c r="E4" s="1577"/>
      <c r="F4" s="1577"/>
      <c r="G4" s="1577"/>
      <c r="H4" s="1577"/>
      <c r="I4" s="1577"/>
      <c r="J4" s="1577"/>
      <c r="K4" s="1577"/>
      <c r="L4" s="1577"/>
      <c r="M4" s="1577"/>
      <c r="N4" s="1577"/>
      <c r="O4" s="1577"/>
      <c r="P4" s="1577"/>
      <c r="Q4" s="1577"/>
      <c r="R4" s="1577"/>
      <c r="S4" s="1577"/>
    </row>
    <row r="5" spans="1:21" ht="15.75" x14ac:dyDescent="0.2">
      <c r="A5" s="1578" t="s">
        <v>25</v>
      </c>
      <c r="B5" s="1578"/>
      <c r="C5" s="1578"/>
      <c r="D5" s="1578"/>
      <c r="E5" s="1578"/>
      <c r="F5" s="1578"/>
      <c r="G5" s="1578"/>
      <c r="H5" s="1578"/>
      <c r="I5" s="1578"/>
      <c r="J5" s="1578"/>
      <c r="K5" s="1578"/>
      <c r="L5" s="1578"/>
      <c r="M5" s="1578"/>
      <c r="N5" s="1578"/>
      <c r="O5" s="1578"/>
      <c r="P5" s="1578"/>
      <c r="Q5" s="1578"/>
      <c r="R5" s="1578"/>
      <c r="S5" s="1578"/>
      <c r="T5" s="3"/>
      <c r="U5" s="3"/>
    </row>
    <row r="6" spans="1:21" ht="15.75" x14ac:dyDescent="0.2">
      <c r="A6" s="1579" t="s">
        <v>106</v>
      </c>
      <c r="B6" s="1579"/>
      <c r="C6" s="1579"/>
      <c r="D6" s="1579"/>
      <c r="E6" s="1579"/>
      <c r="F6" s="1579"/>
      <c r="G6" s="1579"/>
      <c r="H6" s="1579"/>
      <c r="I6" s="1579"/>
      <c r="J6" s="1579"/>
      <c r="K6" s="1579"/>
      <c r="L6" s="1579"/>
      <c r="M6" s="1579"/>
      <c r="N6" s="1579"/>
      <c r="O6" s="1579"/>
      <c r="P6" s="1579"/>
      <c r="Q6" s="1579"/>
      <c r="R6" s="1579"/>
      <c r="S6" s="1579"/>
      <c r="T6" s="3"/>
      <c r="U6" s="3"/>
    </row>
    <row r="7" spans="1:21" ht="13.5" thickBot="1" x14ac:dyDescent="0.25">
      <c r="C7" s="10"/>
      <c r="P7" s="1580" t="s">
        <v>103</v>
      </c>
      <c r="Q7" s="1580"/>
      <c r="R7" s="1580"/>
      <c r="S7" s="1581"/>
      <c r="T7" s="3"/>
      <c r="U7" s="3"/>
    </row>
    <row r="8" spans="1:21" s="50" customFormat="1" ht="24.75" customHeight="1" x14ac:dyDescent="0.2">
      <c r="A8" s="1421" t="s">
        <v>17</v>
      </c>
      <c r="B8" s="1424" t="s">
        <v>0</v>
      </c>
      <c r="C8" s="1424" t="s">
        <v>1</v>
      </c>
      <c r="D8" s="1626" t="s">
        <v>12</v>
      </c>
      <c r="E8" s="1424" t="s">
        <v>2</v>
      </c>
      <c r="F8" s="1629" t="s">
        <v>3</v>
      </c>
      <c r="G8" s="1415" t="s">
        <v>4</v>
      </c>
      <c r="H8" s="1635" t="s">
        <v>231</v>
      </c>
      <c r="I8" s="1632" t="s">
        <v>355</v>
      </c>
      <c r="J8" s="1623" t="s">
        <v>219</v>
      </c>
      <c r="K8" s="1635" t="s">
        <v>162</v>
      </c>
      <c r="L8" s="1632" t="s">
        <v>220</v>
      </c>
      <c r="M8" s="1623" t="s">
        <v>219</v>
      </c>
      <c r="N8" s="1635" t="s">
        <v>224</v>
      </c>
      <c r="O8" s="1632" t="s">
        <v>356</v>
      </c>
      <c r="P8" s="1623" t="s">
        <v>219</v>
      </c>
      <c r="Q8" s="1399" t="s">
        <v>11</v>
      </c>
      <c r="R8" s="1400"/>
      <c r="S8" s="1400"/>
      <c r="T8" s="1400"/>
      <c r="U8" s="451"/>
    </row>
    <row r="9" spans="1:21" s="50" customFormat="1" ht="18.75" customHeight="1" x14ac:dyDescent="0.2">
      <c r="A9" s="1422"/>
      <c r="B9" s="1425"/>
      <c r="C9" s="1425"/>
      <c r="D9" s="1627"/>
      <c r="E9" s="1425"/>
      <c r="F9" s="1630"/>
      <c r="G9" s="1416"/>
      <c r="H9" s="1636"/>
      <c r="I9" s="1633"/>
      <c r="J9" s="1624"/>
      <c r="K9" s="1636"/>
      <c r="L9" s="1633"/>
      <c r="M9" s="1624"/>
      <c r="N9" s="1636"/>
      <c r="O9" s="1633"/>
      <c r="P9" s="1624"/>
      <c r="Q9" s="1402" t="s">
        <v>12</v>
      </c>
      <c r="R9" s="1404" t="s">
        <v>84</v>
      </c>
      <c r="S9" s="1404"/>
      <c r="T9" s="1404"/>
      <c r="U9" s="964" t="s">
        <v>221</v>
      </c>
    </row>
    <row r="10" spans="1:21" s="50" customFormat="1" ht="81" customHeight="1" thickBot="1" x14ac:dyDescent="0.25">
      <c r="A10" s="1423"/>
      <c r="B10" s="1426"/>
      <c r="C10" s="1426"/>
      <c r="D10" s="1628"/>
      <c r="E10" s="1426"/>
      <c r="F10" s="1631"/>
      <c r="G10" s="1417"/>
      <c r="H10" s="1637"/>
      <c r="I10" s="1634"/>
      <c r="J10" s="1625"/>
      <c r="K10" s="1637"/>
      <c r="L10" s="1634"/>
      <c r="M10" s="1625"/>
      <c r="N10" s="1637"/>
      <c r="O10" s="1634"/>
      <c r="P10" s="1625"/>
      <c r="Q10" s="1403"/>
      <c r="R10" s="452" t="s">
        <v>110</v>
      </c>
      <c r="S10" s="452" t="s">
        <v>163</v>
      </c>
      <c r="T10" s="452" t="s">
        <v>225</v>
      </c>
      <c r="U10" s="453"/>
    </row>
    <row r="11" spans="1:21" s="12" customFormat="1" ht="15" customHeight="1" x14ac:dyDescent="0.2">
      <c r="A11" s="1406" t="s">
        <v>60</v>
      </c>
      <c r="B11" s="1407"/>
      <c r="C11" s="1407"/>
      <c r="D11" s="1407"/>
      <c r="E11" s="1407"/>
      <c r="F11" s="1407"/>
      <c r="G11" s="1407"/>
      <c r="H11" s="1407"/>
      <c r="I11" s="1407"/>
      <c r="J11" s="1407"/>
      <c r="K11" s="1407"/>
      <c r="L11" s="1407"/>
      <c r="M11" s="1407"/>
      <c r="N11" s="1407"/>
      <c r="O11" s="1407"/>
      <c r="P11" s="1407"/>
      <c r="Q11" s="1407"/>
      <c r="R11" s="1407"/>
      <c r="S11" s="1407"/>
      <c r="T11" s="1407"/>
      <c r="U11" s="1408"/>
    </row>
    <row r="12" spans="1:21" s="12" customFormat="1" ht="14.25" customHeight="1" x14ac:dyDescent="0.2">
      <c r="A12" s="1378" t="s">
        <v>45</v>
      </c>
      <c r="B12" s="1379"/>
      <c r="C12" s="1379"/>
      <c r="D12" s="1379"/>
      <c r="E12" s="1379"/>
      <c r="F12" s="1379"/>
      <c r="G12" s="1379"/>
      <c r="H12" s="1379"/>
      <c r="I12" s="1379"/>
      <c r="J12" s="1379"/>
      <c r="K12" s="1379"/>
      <c r="L12" s="1379"/>
      <c r="M12" s="1379"/>
      <c r="N12" s="1379"/>
      <c r="O12" s="1379"/>
      <c r="P12" s="1379"/>
      <c r="Q12" s="1379"/>
      <c r="R12" s="1379"/>
      <c r="S12" s="1379"/>
      <c r="T12" s="1379"/>
      <c r="U12" s="1380"/>
    </row>
    <row r="13" spans="1:21" ht="15" customHeight="1" x14ac:dyDescent="0.2">
      <c r="A13" s="25" t="s">
        <v>5</v>
      </c>
      <c r="B13" s="1381" t="s">
        <v>61</v>
      </c>
      <c r="C13" s="1382"/>
      <c r="D13" s="1382"/>
      <c r="E13" s="1382"/>
      <c r="F13" s="1382"/>
      <c r="G13" s="1382"/>
      <c r="H13" s="1382"/>
      <c r="I13" s="1382"/>
      <c r="J13" s="1382"/>
      <c r="K13" s="1382"/>
      <c r="L13" s="1382"/>
      <c r="M13" s="1382"/>
      <c r="N13" s="1382"/>
      <c r="O13" s="1382"/>
      <c r="P13" s="1382"/>
      <c r="Q13" s="1382"/>
      <c r="R13" s="1382"/>
      <c r="S13" s="1382"/>
      <c r="T13" s="1382"/>
      <c r="U13" s="1383"/>
    </row>
    <row r="14" spans="1:21" ht="15.75" customHeight="1" x14ac:dyDescent="0.2">
      <c r="A14" s="39" t="s">
        <v>5</v>
      </c>
      <c r="B14" s="40" t="s">
        <v>5</v>
      </c>
      <c r="C14" s="1384" t="s">
        <v>41</v>
      </c>
      <c r="D14" s="1385"/>
      <c r="E14" s="1385"/>
      <c r="F14" s="1385"/>
      <c r="G14" s="1385"/>
      <c r="H14" s="1385"/>
      <c r="I14" s="1385"/>
      <c r="J14" s="1385"/>
      <c r="K14" s="1385"/>
      <c r="L14" s="1385"/>
      <c r="M14" s="1385"/>
      <c r="N14" s="1385"/>
      <c r="O14" s="1385"/>
      <c r="P14" s="1385"/>
      <c r="Q14" s="1385"/>
      <c r="R14" s="1385"/>
      <c r="S14" s="1385"/>
      <c r="T14" s="1385"/>
      <c r="U14" s="1386"/>
    </row>
    <row r="15" spans="1:21" ht="14.25" customHeight="1" x14ac:dyDescent="0.2">
      <c r="A15" s="916" t="s">
        <v>5</v>
      </c>
      <c r="B15" s="917" t="s">
        <v>5</v>
      </c>
      <c r="C15" s="918" t="s">
        <v>5</v>
      </c>
      <c r="D15" s="1389" t="s">
        <v>93</v>
      </c>
      <c r="E15" s="192" t="s">
        <v>300</v>
      </c>
      <c r="F15" s="910" t="s">
        <v>27</v>
      </c>
      <c r="G15" s="24" t="s">
        <v>24</v>
      </c>
      <c r="H15" s="145">
        <f>748.2+8.4</f>
        <v>756.6</v>
      </c>
      <c r="I15" s="145">
        <f>748.2+8.4</f>
        <v>756.6</v>
      </c>
      <c r="J15" s="680"/>
      <c r="K15" s="932">
        <f>1424.5-100</f>
        <v>1324.5</v>
      </c>
      <c r="L15" s="145">
        <f>1424.5-100</f>
        <v>1324.5</v>
      </c>
      <c r="M15" s="680"/>
      <c r="N15" s="932">
        <f>1622.5-100</f>
        <v>1522.5</v>
      </c>
      <c r="O15" s="145">
        <f>1622.5-100</f>
        <v>1522.5</v>
      </c>
      <c r="P15" s="680"/>
      <c r="Q15" s="270"/>
      <c r="R15" s="149"/>
      <c r="S15" s="149"/>
      <c r="T15" s="476"/>
      <c r="U15" s="288"/>
    </row>
    <row r="16" spans="1:21" ht="22.5" customHeight="1" x14ac:dyDescent="0.2">
      <c r="A16" s="916"/>
      <c r="B16" s="917"/>
      <c r="C16" s="918"/>
      <c r="D16" s="1390"/>
      <c r="E16" s="768"/>
      <c r="F16" s="230"/>
      <c r="G16" s="36" t="s">
        <v>58</v>
      </c>
      <c r="H16" s="932">
        <v>900.2</v>
      </c>
      <c r="I16" s="946">
        <v>900.2</v>
      </c>
      <c r="J16" s="680"/>
      <c r="K16" s="932"/>
      <c r="L16" s="946"/>
      <c r="M16" s="680"/>
      <c r="N16" s="932"/>
      <c r="O16" s="946"/>
      <c r="P16" s="680"/>
      <c r="Q16" s="270"/>
      <c r="R16" s="393"/>
      <c r="S16" s="149"/>
      <c r="T16" s="149"/>
      <c r="U16" s="408"/>
    </row>
    <row r="17" spans="1:21" ht="15" customHeight="1" x14ac:dyDescent="0.2">
      <c r="A17" s="916"/>
      <c r="B17" s="917"/>
      <c r="C17" s="918"/>
      <c r="D17" s="1373" t="s">
        <v>107</v>
      </c>
      <c r="E17" s="924"/>
      <c r="F17" s="953"/>
      <c r="G17" s="58"/>
      <c r="H17" s="110"/>
      <c r="I17" s="145"/>
      <c r="J17" s="153"/>
      <c r="K17" s="127"/>
      <c r="L17" s="145"/>
      <c r="M17" s="127"/>
      <c r="N17" s="110"/>
      <c r="O17" s="145"/>
      <c r="P17" s="153"/>
      <c r="Q17" s="797" t="s">
        <v>218</v>
      </c>
      <c r="R17" s="798">
        <v>3.9</v>
      </c>
      <c r="S17" s="799">
        <v>3.9</v>
      </c>
      <c r="T17" s="799">
        <v>3.9</v>
      </c>
      <c r="U17" s="1074"/>
    </row>
    <row r="18" spans="1:21" ht="15" customHeight="1" x14ac:dyDescent="0.2">
      <c r="A18" s="916"/>
      <c r="B18" s="917"/>
      <c r="C18" s="918"/>
      <c r="D18" s="1387"/>
      <c r="E18" s="924"/>
      <c r="F18" s="953"/>
      <c r="G18" s="24"/>
      <c r="H18" s="932"/>
      <c r="I18" s="946"/>
      <c r="J18" s="680"/>
      <c r="K18" s="102"/>
      <c r="L18" s="946"/>
      <c r="M18" s="102"/>
      <c r="N18" s="932"/>
      <c r="O18" s="946"/>
      <c r="P18" s="680"/>
      <c r="Q18" s="920" t="s">
        <v>297</v>
      </c>
      <c r="R18" s="287">
        <v>341</v>
      </c>
      <c r="S18" s="685">
        <v>353</v>
      </c>
      <c r="T18" s="685">
        <v>353</v>
      </c>
      <c r="U18" s="488"/>
    </row>
    <row r="19" spans="1:21" ht="14.1" customHeight="1" x14ac:dyDescent="0.2">
      <c r="A19" s="1388"/>
      <c r="B19" s="1396"/>
      <c r="C19" s="1397"/>
      <c r="D19" s="1373" t="s">
        <v>30</v>
      </c>
      <c r="E19" s="1430" t="s">
        <v>96</v>
      </c>
      <c r="F19" s="1433"/>
      <c r="G19" s="686"/>
      <c r="H19" s="110"/>
      <c r="I19" s="145"/>
      <c r="J19" s="153"/>
      <c r="K19" s="127"/>
      <c r="L19" s="145"/>
      <c r="M19" s="127"/>
      <c r="N19" s="110"/>
      <c r="O19" s="145"/>
      <c r="P19" s="153"/>
      <c r="Q19" s="957" t="s">
        <v>32</v>
      </c>
      <c r="R19" s="34">
        <v>4</v>
      </c>
      <c r="S19" s="470">
        <v>4</v>
      </c>
      <c r="T19" s="136">
        <v>4</v>
      </c>
      <c r="U19" s="536"/>
    </row>
    <row r="20" spans="1:21" ht="14.1" customHeight="1" x14ac:dyDescent="0.2">
      <c r="A20" s="1388"/>
      <c r="B20" s="1396"/>
      <c r="C20" s="1397"/>
      <c r="D20" s="1387"/>
      <c r="E20" s="1431"/>
      <c r="F20" s="1433"/>
      <c r="G20" s="960"/>
      <c r="H20" s="932"/>
      <c r="I20" s="946"/>
      <c r="J20" s="680"/>
      <c r="K20" s="102"/>
      <c r="L20" s="946"/>
      <c r="M20" s="102"/>
      <c r="N20" s="932"/>
      <c r="O20" s="946"/>
      <c r="P20" s="680"/>
      <c r="Q20" s="956" t="s">
        <v>83</v>
      </c>
      <c r="R20" s="81">
        <v>3</v>
      </c>
      <c r="S20" s="948">
        <v>3</v>
      </c>
      <c r="T20" s="135">
        <v>6</v>
      </c>
      <c r="U20" s="536"/>
    </row>
    <row r="21" spans="1:21" ht="14.1" customHeight="1" x14ac:dyDescent="0.2">
      <c r="A21" s="1388"/>
      <c r="B21" s="1396"/>
      <c r="C21" s="1397"/>
      <c r="D21" s="1387"/>
      <c r="E21" s="1431"/>
      <c r="F21" s="1433"/>
      <c r="G21" s="960"/>
      <c r="H21" s="932"/>
      <c r="I21" s="946"/>
      <c r="J21" s="680"/>
      <c r="K21" s="102"/>
      <c r="L21" s="946"/>
      <c r="M21" s="102"/>
      <c r="N21" s="932"/>
      <c r="O21" s="946"/>
      <c r="P21" s="680"/>
      <c r="Q21" s="956" t="s">
        <v>359</v>
      </c>
      <c r="R21" s="81">
        <v>1</v>
      </c>
      <c r="S21" s="81"/>
      <c r="T21" s="135"/>
      <c r="U21" s="536"/>
    </row>
    <row r="22" spans="1:21" ht="14.1" customHeight="1" x14ac:dyDescent="0.2">
      <c r="A22" s="1388"/>
      <c r="B22" s="1396"/>
      <c r="C22" s="1397"/>
      <c r="D22" s="1387"/>
      <c r="E22" s="1431"/>
      <c r="F22" s="1434"/>
      <c r="G22" s="960"/>
      <c r="H22" s="932"/>
      <c r="I22" s="946"/>
      <c r="J22" s="680"/>
      <c r="K22" s="102"/>
      <c r="L22" s="946"/>
      <c r="M22" s="102"/>
      <c r="N22" s="932"/>
      <c r="O22" s="946"/>
      <c r="P22" s="680"/>
      <c r="Q22" s="956" t="s">
        <v>245</v>
      </c>
      <c r="R22" s="81"/>
      <c r="S22" s="81">
        <v>3</v>
      </c>
      <c r="T22" s="135"/>
      <c r="U22" s="536"/>
    </row>
    <row r="23" spans="1:21" ht="14.25" customHeight="1" x14ac:dyDescent="0.2">
      <c r="A23" s="1388"/>
      <c r="B23" s="1396"/>
      <c r="C23" s="1397"/>
      <c r="D23" s="1387"/>
      <c r="E23" s="1431"/>
      <c r="F23" s="1434"/>
      <c r="G23" s="960"/>
      <c r="H23" s="932"/>
      <c r="I23" s="946"/>
      <c r="J23" s="680"/>
      <c r="K23" s="102"/>
      <c r="L23" s="946"/>
      <c r="M23" s="102"/>
      <c r="N23" s="932"/>
      <c r="O23" s="946"/>
      <c r="P23" s="680"/>
      <c r="Q23" s="1371" t="s">
        <v>330</v>
      </c>
      <c r="R23" s="135">
        <v>100</v>
      </c>
      <c r="S23" s="135"/>
      <c r="T23" s="135"/>
      <c r="U23" s="536"/>
    </row>
    <row r="24" spans="1:21" ht="13.5" customHeight="1" x14ac:dyDescent="0.2">
      <c r="A24" s="1388"/>
      <c r="B24" s="1396"/>
      <c r="C24" s="1397"/>
      <c r="D24" s="1398"/>
      <c r="E24" s="1432"/>
      <c r="F24" s="1434"/>
      <c r="G24" s="283"/>
      <c r="H24" s="613"/>
      <c r="I24" s="614"/>
      <c r="J24" s="152"/>
      <c r="K24" s="101"/>
      <c r="L24" s="614"/>
      <c r="M24" s="101"/>
      <c r="N24" s="613"/>
      <c r="O24" s="614"/>
      <c r="P24" s="152"/>
      <c r="Q24" s="1372"/>
      <c r="R24" s="137"/>
      <c r="S24" s="137"/>
      <c r="T24" s="137"/>
      <c r="U24" s="536"/>
    </row>
    <row r="25" spans="1:21" ht="13.5" customHeight="1" x14ac:dyDescent="0.2">
      <c r="A25" s="916"/>
      <c r="B25" s="917"/>
      <c r="C25" s="918"/>
      <c r="D25" s="1373" t="s">
        <v>31</v>
      </c>
      <c r="E25" s="1375"/>
      <c r="F25" s="910"/>
      <c r="G25" s="960"/>
      <c r="H25" s="932"/>
      <c r="I25" s="946"/>
      <c r="J25" s="680"/>
      <c r="K25" s="932"/>
      <c r="L25" s="946"/>
      <c r="M25" s="102"/>
      <c r="N25" s="932"/>
      <c r="O25" s="946"/>
      <c r="P25" s="680"/>
      <c r="Q25" s="795" t="s">
        <v>169</v>
      </c>
      <c r="R25" s="628"/>
      <c r="S25" s="573"/>
      <c r="T25" s="573"/>
      <c r="U25" s="536"/>
    </row>
    <row r="26" spans="1:21" ht="24.75" customHeight="1" x14ac:dyDescent="0.2">
      <c r="A26" s="916"/>
      <c r="B26" s="917"/>
      <c r="C26" s="918"/>
      <c r="D26" s="1374"/>
      <c r="E26" s="1376"/>
      <c r="F26" s="910"/>
      <c r="G26" s="960"/>
      <c r="H26" s="932"/>
      <c r="I26" s="946"/>
      <c r="J26" s="680"/>
      <c r="K26" s="102"/>
      <c r="L26" s="946"/>
      <c r="M26" s="102"/>
      <c r="N26" s="932"/>
      <c r="O26" s="946"/>
      <c r="P26" s="680"/>
      <c r="Q26" s="956" t="s">
        <v>170</v>
      </c>
      <c r="R26" s="948">
        <v>87</v>
      </c>
      <c r="S26" s="135">
        <v>87</v>
      </c>
      <c r="T26" s="135">
        <v>87</v>
      </c>
      <c r="U26" s="536"/>
    </row>
    <row r="27" spans="1:21" ht="25.5" customHeight="1" x14ac:dyDescent="0.2">
      <c r="A27" s="916"/>
      <c r="B27" s="917"/>
      <c r="C27" s="918"/>
      <c r="D27" s="1374"/>
      <c r="E27" s="1376"/>
      <c r="F27" s="910"/>
      <c r="G27" s="960"/>
      <c r="H27" s="932"/>
      <c r="I27" s="946"/>
      <c r="J27" s="680"/>
      <c r="K27" s="102"/>
      <c r="L27" s="946"/>
      <c r="M27" s="102"/>
      <c r="N27" s="932"/>
      <c r="O27" s="946"/>
      <c r="P27" s="680"/>
      <c r="Q27" s="756" t="s">
        <v>145</v>
      </c>
      <c r="R27" s="796">
        <v>63</v>
      </c>
      <c r="S27" s="535">
        <v>63</v>
      </c>
      <c r="T27" s="535">
        <v>63</v>
      </c>
      <c r="U27" s="536"/>
    </row>
    <row r="28" spans="1:21" ht="15" customHeight="1" x14ac:dyDescent="0.2">
      <c r="A28" s="916"/>
      <c r="B28" s="917"/>
      <c r="C28" s="918"/>
      <c r="D28" s="1374"/>
      <c r="E28" s="1376"/>
      <c r="F28" s="910"/>
      <c r="G28" s="960"/>
      <c r="H28" s="932"/>
      <c r="I28" s="946"/>
      <c r="J28" s="680"/>
      <c r="K28" s="102"/>
      <c r="L28" s="946"/>
      <c r="M28" s="102"/>
      <c r="N28" s="932"/>
      <c r="O28" s="946"/>
      <c r="P28" s="680"/>
      <c r="Q28" s="327" t="s">
        <v>171</v>
      </c>
      <c r="R28" s="324"/>
      <c r="S28" s="479"/>
      <c r="T28" s="479"/>
      <c r="U28" s="1644"/>
    </row>
    <row r="29" spans="1:21" ht="13.5" customHeight="1" x14ac:dyDescent="0.2">
      <c r="A29" s="916"/>
      <c r="B29" s="917"/>
      <c r="C29" s="918"/>
      <c r="D29" s="192"/>
      <c r="E29" s="1376"/>
      <c r="F29" s="910"/>
      <c r="G29" s="960"/>
      <c r="H29" s="932"/>
      <c r="I29" s="946"/>
      <c r="J29" s="680"/>
      <c r="K29" s="102"/>
      <c r="L29" s="946"/>
      <c r="M29" s="102"/>
      <c r="N29" s="932"/>
      <c r="O29" s="946"/>
      <c r="P29" s="680"/>
      <c r="Q29" s="1139" t="s">
        <v>104</v>
      </c>
      <c r="R29" s="81">
        <v>10</v>
      </c>
      <c r="S29" s="135">
        <v>10</v>
      </c>
      <c r="T29" s="135">
        <v>10</v>
      </c>
      <c r="U29" s="1644"/>
    </row>
    <row r="30" spans="1:21" ht="13.5" customHeight="1" x14ac:dyDescent="0.2">
      <c r="A30" s="916"/>
      <c r="B30" s="917"/>
      <c r="C30" s="918"/>
      <c r="D30" s="192"/>
      <c r="E30" s="1376"/>
      <c r="F30" s="910"/>
      <c r="G30" s="960"/>
      <c r="H30" s="932"/>
      <c r="I30" s="946"/>
      <c r="J30" s="680"/>
      <c r="K30" s="102"/>
      <c r="L30" s="946"/>
      <c r="M30" s="102"/>
      <c r="N30" s="932"/>
      <c r="O30" s="946"/>
      <c r="P30" s="680"/>
      <c r="Q30" s="1134" t="s">
        <v>33</v>
      </c>
      <c r="R30" s="32" t="s">
        <v>246</v>
      </c>
      <c r="S30" s="256" t="s">
        <v>246</v>
      </c>
      <c r="T30" s="256" t="s">
        <v>246</v>
      </c>
      <c r="U30" s="1644"/>
    </row>
    <row r="31" spans="1:21" ht="13.5" customHeight="1" x14ac:dyDescent="0.2">
      <c r="A31" s="916"/>
      <c r="B31" s="917"/>
      <c r="C31" s="918"/>
      <c r="D31" s="192"/>
      <c r="E31" s="1376"/>
      <c r="F31" s="910"/>
      <c r="G31" s="960"/>
      <c r="H31" s="932"/>
      <c r="I31" s="946"/>
      <c r="J31" s="680"/>
      <c r="K31" s="102"/>
      <c r="L31" s="946"/>
      <c r="M31" s="102"/>
      <c r="N31" s="932"/>
      <c r="O31" s="946"/>
      <c r="P31" s="680"/>
      <c r="Q31" s="1134" t="s">
        <v>82</v>
      </c>
      <c r="R31" s="32" t="s">
        <v>298</v>
      </c>
      <c r="S31" s="256" t="s">
        <v>298</v>
      </c>
      <c r="T31" s="256" t="s">
        <v>298</v>
      </c>
      <c r="U31" s="1644"/>
    </row>
    <row r="32" spans="1:21" ht="13.5" customHeight="1" x14ac:dyDescent="0.2">
      <c r="A32" s="916"/>
      <c r="B32" s="917"/>
      <c r="C32" s="918"/>
      <c r="D32" s="192"/>
      <c r="E32" s="1376"/>
      <c r="F32" s="910"/>
      <c r="G32" s="960"/>
      <c r="H32" s="932"/>
      <c r="I32" s="946"/>
      <c r="J32" s="680"/>
      <c r="K32" s="102"/>
      <c r="L32" s="946"/>
      <c r="M32" s="102"/>
      <c r="N32" s="932"/>
      <c r="O32" s="946"/>
      <c r="P32" s="680"/>
      <c r="Q32" s="1134" t="s">
        <v>247</v>
      </c>
      <c r="R32" s="32" t="s">
        <v>166</v>
      </c>
      <c r="S32" s="256" t="s">
        <v>166</v>
      </c>
      <c r="T32" s="256" t="s">
        <v>166</v>
      </c>
      <c r="U32" s="1644"/>
    </row>
    <row r="33" spans="1:53" ht="13.5" customHeight="1" x14ac:dyDescent="0.2">
      <c r="A33" s="916"/>
      <c r="B33" s="917"/>
      <c r="C33" s="918"/>
      <c r="D33" s="192"/>
      <c r="E33" s="1376"/>
      <c r="F33" s="910"/>
      <c r="G33" s="960"/>
      <c r="H33" s="932"/>
      <c r="I33" s="946"/>
      <c r="J33" s="680"/>
      <c r="K33" s="102"/>
      <c r="L33" s="946"/>
      <c r="M33" s="102"/>
      <c r="N33" s="932"/>
      <c r="O33" s="946"/>
      <c r="P33" s="680"/>
      <c r="Q33" s="5" t="s">
        <v>232</v>
      </c>
      <c r="R33" s="32" t="s">
        <v>228</v>
      </c>
      <c r="S33" s="256" t="s">
        <v>228</v>
      </c>
      <c r="T33" s="256" t="s">
        <v>228</v>
      </c>
      <c r="U33" s="1644"/>
    </row>
    <row r="34" spans="1:53" s="8" customFormat="1" ht="13.5" customHeight="1" x14ac:dyDescent="0.2">
      <c r="A34" s="916"/>
      <c r="B34" s="917"/>
      <c r="C34" s="918"/>
      <c r="D34" s="192"/>
      <c r="E34" s="1376"/>
      <c r="F34" s="910"/>
      <c r="G34" s="960"/>
      <c r="H34" s="932"/>
      <c r="I34" s="946"/>
      <c r="J34" s="680"/>
      <c r="K34" s="102"/>
      <c r="L34" s="946"/>
      <c r="M34" s="102"/>
      <c r="N34" s="932"/>
      <c r="O34" s="946"/>
      <c r="P34" s="680"/>
      <c r="Q34" s="1198" t="s">
        <v>248</v>
      </c>
      <c r="R34" s="32" t="s">
        <v>249</v>
      </c>
      <c r="S34" s="256" t="s">
        <v>249</v>
      </c>
      <c r="T34" s="256" t="s">
        <v>249</v>
      </c>
      <c r="U34" s="1644"/>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row>
    <row r="35" spans="1:53" s="8" customFormat="1" ht="16.5" customHeight="1" x14ac:dyDescent="0.2">
      <c r="A35" s="1135"/>
      <c r="B35" s="1136"/>
      <c r="C35" s="1138"/>
      <c r="D35" s="192"/>
      <c r="E35" s="1376"/>
      <c r="F35" s="1137"/>
      <c r="G35" s="1140"/>
      <c r="H35" s="932"/>
      <c r="I35" s="946"/>
      <c r="J35" s="680"/>
      <c r="K35" s="102"/>
      <c r="L35" s="946"/>
      <c r="M35" s="102"/>
      <c r="N35" s="932"/>
      <c r="O35" s="946"/>
      <c r="P35" s="680"/>
      <c r="Q35" s="1198" t="s">
        <v>367</v>
      </c>
      <c r="R35" s="32" t="s">
        <v>50</v>
      </c>
      <c r="S35" s="256"/>
      <c r="T35" s="256"/>
      <c r="U35" s="1644"/>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row>
    <row r="36" spans="1:53" s="8" customFormat="1" ht="15.75" customHeight="1" x14ac:dyDescent="0.2">
      <c r="A36" s="916"/>
      <c r="B36" s="917"/>
      <c r="C36" s="918"/>
      <c r="D36" s="192"/>
      <c r="E36" s="1376"/>
      <c r="F36" s="910"/>
      <c r="G36" s="960"/>
      <c r="H36" s="932"/>
      <c r="I36" s="946"/>
      <c r="J36" s="680"/>
      <c r="K36" s="102"/>
      <c r="L36" s="946"/>
      <c r="M36" s="102"/>
      <c r="N36" s="932"/>
      <c r="O36" s="946"/>
      <c r="P36" s="680"/>
      <c r="Q36" s="769" t="s">
        <v>172</v>
      </c>
      <c r="R36" s="239"/>
      <c r="S36" s="479"/>
      <c r="T36" s="479"/>
      <c r="U36" s="326"/>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row>
    <row r="37" spans="1:53" s="8" customFormat="1" ht="15" customHeight="1" x14ac:dyDescent="0.2">
      <c r="A37" s="916"/>
      <c r="B37" s="917"/>
      <c r="C37" s="918"/>
      <c r="D37" s="192"/>
      <c r="E37" s="1376"/>
      <c r="F37" s="910"/>
      <c r="G37" s="960"/>
      <c r="H37" s="932"/>
      <c r="I37" s="946"/>
      <c r="J37" s="680"/>
      <c r="K37" s="102"/>
      <c r="L37" s="946"/>
      <c r="M37" s="102"/>
      <c r="N37" s="932"/>
      <c r="O37" s="946"/>
      <c r="P37" s="680"/>
      <c r="Q37" s="949" t="s">
        <v>147</v>
      </c>
      <c r="R37" s="142">
        <v>11</v>
      </c>
      <c r="S37" s="383">
        <v>11</v>
      </c>
      <c r="T37" s="383">
        <v>11</v>
      </c>
      <c r="U37" s="329"/>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row>
    <row r="38" spans="1:53" s="8" customFormat="1" ht="13.5" customHeight="1" x14ac:dyDescent="0.2">
      <c r="A38" s="916"/>
      <c r="B38" s="917"/>
      <c r="C38" s="918"/>
      <c r="D38" s="192"/>
      <c r="E38" s="1376"/>
      <c r="F38" s="910"/>
      <c r="G38" s="960"/>
      <c r="H38" s="932"/>
      <c r="I38" s="946"/>
      <c r="J38" s="680"/>
      <c r="K38" s="102"/>
      <c r="L38" s="946"/>
      <c r="M38" s="102"/>
      <c r="N38" s="932"/>
      <c r="O38" s="946"/>
      <c r="P38" s="680"/>
      <c r="Q38" s="958" t="s">
        <v>146</v>
      </c>
      <c r="R38" s="190" t="s">
        <v>131</v>
      </c>
      <c r="S38" s="292" t="s">
        <v>131</v>
      </c>
      <c r="T38" s="292" t="s">
        <v>131</v>
      </c>
      <c r="U38" s="326"/>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row>
    <row r="39" spans="1:53" s="8" customFormat="1" ht="15" customHeight="1" x14ac:dyDescent="0.2">
      <c r="A39" s="916"/>
      <c r="B39" s="917"/>
      <c r="C39" s="918"/>
      <c r="D39" s="192"/>
      <c r="E39" s="1376"/>
      <c r="F39" s="910"/>
      <c r="G39" s="960"/>
      <c r="H39" s="932"/>
      <c r="I39" s="946"/>
      <c r="J39" s="680"/>
      <c r="K39" s="102"/>
      <c r="L39" s="946"/>
      <c r="M39" s="102"/>
      <c r="N39" s="932"/>
      <c r="O39" s="946"/>
      <c r="P39" s="680"/>
      <c r="Q39" s="327" t="s">
        <v>331</v>
      </c>
      <c r="R39" s="328"/>
      <c r="S39" s="383"/>
      <c r="T39" s="383"/>
      <c r="U39" s="329"/>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row>
    <row r="40" spans="1:53" s="8" customFormat="1" ht="26.25" customHeight="1" x14ac:dyDescent="0.2">
      <c r="A40" s="916"/>
      <c r="B40" s="917"/>
      <c r="C40" s="918"/>
      <c r="D40" s="192"/>
      <c r="E40" s="1376"/>
      <c r="F40" s="910"/>
      <c r="G40" s="960"/>
      <c r="H40" s="932"/>
      <c r="I40" s="946"/>
      <c r="J40" s="680"/>
      <c r="K40" s="102"/>
      <c r="L40" s="946"/>
      <c r="M40" s="102"/>
      <c r="N40" s="932"/>
      <c r="O40" s="946"/>
      <c r="P40" s="680"/>
      <c r="Q40" s="945" t="s">
        <v>322</v>
      </c>
      <c r="R40" s="328"/>
      <c r="S40" s="383">
        <v>150</v>
      </c>
      <c r="T40" s="383"/>
      <c r="U40" s="329"/>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row>
    <row r="41" spans="1:53" s="8" customFormat="1" ht="27.75" customHeight="1" x14ac:dyDescent="0.2">
      <c r="A41" s="916"/>
      <c r="B41" s="917"/>
      <c r="C41" s="918"/>
      <c r="D41" s="192"/>
      <c r="E41" s="1376"/>
      <c r="F41" s="910"/>
      <c r="G41" s="960"/>
      <c r="H41" s="932"/>
      <c r="I41" s="946"/>
      <c r="J41" s="680"/>
      <c r="K41" s="102"/>
      <c r="L41" s="946"/>
      <c r="M41" s="102"/>
      <c r="N41" s="932"/>
      <c r="O41" s="946"/>
      <c r="P41" s="680"/>
      <c r="Q41" s="945" t="s">
        <v>324</v>
      </c>
      <c r="R41" s="328"/>
      <c r="S41" s="901">
        <v>7.5</v>
      </c>
      <c r="T41" s="383"/>
      <c r="U41" s="329"/>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row>
    <row r="42" spans="1:53" s="8" customFormat="1" ht="13.5" customHeight="1" x14ac:dyDescent="0.2">
      <c r="A42" s="916"/>
      <c r="B42" s="917"/>
      <c r="C42" s="918"/>
      <c r="D42" s="192"/>
      <c r="E42" s="1376"/>
      <c r="F42" s="910"/>
      <c r="G42" s="960"/>
      <c r="H42" s="932"/>
      <c r="I42" s="946"/>
      <c r="J42" s="680"/>
      <c r="K42" s="102"/>
      <c r="L42" s="946"/>
      <c r="M42" s="102"/>
      <c r="N42" s="932"/>
      <c r="O42" s="946"/>
      <c r="P42" s="680"/>
      <c r="Q42" s="45" t="s">
        <v>207</v>
      </c>
      <c r="R42" s="190">
        <v>1</v>
      </c>
      <c r="S42" s="292">
        <v>1</v>
      </c>
      <c r="T42" s="292">
        <v>1</v>
      </c>
      <c r="U42" s="326"/>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row>
    <row r="43" spans="1:53" s="8" customFormat="1" ht="30" customHeight="1" x14ac:dyDescent="0.2">
      <c r="A43" s="916"/>
      <c r="B43" s="917"/>
      <c r="C43" s="918"/>
      <c r="D43" s="193"/>
      <c r="E43" s="1377"/>
      <c r="F43" s="910"/>
      <c r="G43" s="960"/>
      <c r="H43" s="932"/>
      <c r="I43" s="946"/>
      <c r="J43" s="680"/>
      <c r="K43" s="102"/>
      <c r="L43" s="946"/>
      <c r="M43" s="102"/>
      <c r="N43" s="932"/>
      <c r="O43" s="946"/>
      <c r="P43" s="680"/>
      <c r="Q43" s="940" t="s">
        <v>311</v>
      </c>
      <c r="R43" s="391">
        <v>2</v>
      </c>
      <c r="S43" s="770"/>
      <c r="T43" s="480"/>
      <c r="U43" s="329"/>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row>
    <row r="44" spans="1:53" s="8" customFormat="1" ht="25.5" customHeight="1" x14ac:dyDescent="0.2">
      <c r="A44" s="916"/>
      <c r="B44" s="917"/>
      <c r="C44" s="953"/>
      <c r="D44" s="1387" t="s">
        <v>135</v>
      </c>
      <c r="E44" s="1439" t="s">
        <v>138</v>
      </c>
      <c r="F44" s="910"/>
      <c r="G44" s="58"/>
      <c r="H44" s="110"/>
      <c r="I44" s="145"/>
      <c r="J44" s="153"/>
      <c r="K44" s="127"/>
      <c r="L44" s="145"/>
      <c r="M44" s="127"/>
      <c r="N44" s="110"/>
      <c r="O44" s="145"/>
      <c r="P44" s="153"/>
      <c r="Q44" s="944" t="s">
        <v>150</v>
      </c>
      <c r="R44" s="175">
        <v>100</v>
      </c>
      <c r="S44" s="771"/>
      <c r="T44" s="167"/>
      <c r="U44" s="257"/>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row>
    <row r="45" spans="1:53" s="8" customFormat="1" ht="9" customHeight="1" x14ac:dyDescent="0.2">
      <c r="A45" s="916"/>
      <c r="B45" s="917"/>
      <c r="C45" s="953"/>
      <c r="D45" s="1387"/>
      <c r="E45" s="1440"/>
      <c r="F45" s="910"/>
      <c r="G45" s="59"/>
      <c r="H45" s="613"/>
      <c r="I45" s="614"/>
      <c r="J45" s="152"/>
      <c r="K45" s="101"/>
      <c r="L45" s="614"/>
      <c r="M45" s="101"/>
      <c r="N45" s="613"/>
      <c r="O45" s="614"/>
      <c r="P45" s="152"/>
      <c r="Q45" s="950"/>
      <c r="R45" s="176"/>
      <c r="S45" s="772"/>
      <c r="T45" s="167"/>
      <c r="U45" s="257"/>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row>
    <row r="46" spans="1:53" s="8" customFormat="1" ht="26.25" customHeight="1" x14ac:dyDescent="0.2">
      <c r="A46" s="916"/>
      <c r="B46" s="917"/>
      <c r="C46" s="69"/>
      <c r="D46" s="1373" t="s">
        <v>128</v>
      </c>
      <c r="E46" s="1440"/>
      <c r="F46" s="1443"/>
      <c r="G46" s="24" t="s">
        <v>24</v>
      </c>
      <c r="H46" s="932"/>
      <c r="I46" s="1046">
        <v>-12.9</v>
      </c>
      <c r="J46" s="1053">
        <f>I46-H46</f>
        <v>-12.9</v>
      </c>
      <c r="K46" s="102"/>
      <c r="L46" s="1046">
        <v>200</v>
      </c>
      <c r="M46" s="1047">
        <f>L46-K46</f>
        <v>200</v>
      </c>
      <c r="N46" s="932"/>
      <c r="O46" s="946"/>
      <c r="P46" s="680"/>
      <c r="Q46" s="912" t="s">
        <v>94</v>
      </c>
      <c r="R46" s="174">
        <v>1</v>
      </c>
      <c r="S46" s="386"/>
      <c r="T46" s="168"/>
      <c r="U46" s="1605" t="s">
        <v>380</v>
      </c>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row>
    <row r="47" spans="1:53" s="8" customFormat="1" ht="65.25" customHeight="1" x14ac:dyDescent="0.2">
      <c r="A47" s="916"/>
      <c r="B47" s="917"/>
      <c r="C47" s="918"/>
      <c r="D47" s="1398"/>
      <c r="E47" s="1440"/>
      <c r="F47" s="1443"/>
      <c r="G47" s="960" t="s">
        <v>58</v>
      </c>
      <c r="H47" s="932"/>
      <c r="I47" s="1046">
        <v>-187</v>
      </c>
      <c r="J47" s="1053">
        <f>I47-H47</f>
        <v>-187</v>
      </c>
      <c r="K47" s="932"/>
      <c r="L47" s="946"/>
      <c r="M47" s="102"/>
      <c r="N47" s="932"/>
      <c r="O47" s="946"/>
      <c r="P47" s="680"/>
      <c r="Q47" s="949" t="s">
        <v>150</v>
      </c>
      <c r="R47" s="1302">
        <v>25</v>
      </c>
      <c r="S47" s="440">
        <v>100</v>
      </c>
      <c r="T47" s="169"/>
      <c r="U47" s="1617"/>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row>
    <row r="48" spans="1:53" s="8" customFormat="1" ht="12.75" customHeight="1" x14ac:dyDescent="0.2">
      <c r="A48" s="916"/>
      <c r="B48" s="917"/>
      <c r="C48" s="69"/>
      <c r="D48" s="1392" t="s">
        <v>111</v>
      </c>
      <c r="E48" s="1394" t="s">
        <v>102</v>
      </c>
      <c r="F48" s="1391"/>
      <c r="G48" s="58" t="s">
        <v>58</v>
      </c>
      <c r="H48" s="110"/>
      <c r="I48" s="1094">
        <v>-242</v>
      </c>
      <c r="J48" s="1095">
        <f>I48-H48</f>
        <v>-242</v>
      </c>
      <c r="K48" s="127"/>
      <c r="L48" s="145"/>
      <c r="M48" s="127"/>
      <c r="N48" s="110"/>
      <c r="O48" s="145"/>
      <c r="P48" s="153"/>
      <c r="Q48" s="951" t="s">
        <v>94</v>
      </c>
      <c r="R48" s="135">
        <v>1</v>
      </c>
      <c r="S48" s="167"/>
      <c r="T48" s="167"/>
      <c r="U48" s="1605" t="s">
        <v>381</v>
      </c>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row>
    <row r="49" spans="1:53" s="8" customFormat="1" ht="93" customHeight="1" x14ac:dyDescent="0.2">
      <c r="A49" s="916"/>
      <c r="B49" s="917"/>
      <c r="C49" s="918"/>
      <c r="D49" s="1393"/>
      <c r="E49" s="1395"/>
      <c r="F49" s="1391"/>
      <c r="G49" s="283"/>
      <c r="H49" s="613"/>
      <c r="I49" s="614"/>
      <c r="J49" s="152"/>
      <c r="K49" s="101"/>
      <c r="L49" s="614"/>
      <c r="M49" s="101"/>
      <c r="N49" s="613"/>
      <c r="O49" s="614"/>
      <c r="P49" s="152"/>
      <c r="Q49" s="285" t="s">
        <v>116</v>
      </c>
      <c r="R49" s="1303">
        <v>20</v>
      </c>
      <c r="S49" s="1304" t="s">
        <v>375</v>
      </c>
      <c r="T49" s="1114" t="s">
        <v>376</v>
      </c>
      <c r="U49" s="1608"/>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row>
    <row r="50" spans="1:53" s="8" customFormat="1" ht="17.25" customHeight="1" x14ac:dyDescent="0.2">
      <c r="A50" s="916"/>
      <c r="B50" s="917"/>
      <c r="C50" s="953"/>
      <c r="D50" s="1373" t="s">
        <v>184</v>
      </c>
      <c r="E50" s="1394" t="s">
        <v>138</v>
      </c>
      <c r="F50" s="910"/>
      <c r="G50" s="24" t="s">
        <v>24</v>
      </c>
      <c r="H50" s="932"/>
      <c r="I50" s="1046">
        <v>6.5</v>
      </c>
      <c r="J50" s="1053">
        <f>I50-H50</f>
        <v>6.5</v>
      </c>
      <c r="K50" s="102"/>
      <c r="L50" s="946"/>
      <c r="M50" s="102"/>
      <c r="N50" s="932"/>
      <c r="O50" s="946"/>
      <c r="P50" s="680"/>
      <c r="Q50" s="1516" t="s">
        <v>150</v>
      </c>
      <c r="R50" s="175">
        <v>100</v>
      </c>
      <c r="S50" s="459"/>
      <c r="T50" s="168"/>
      <c r="U50" s="1605" t="s">
        <v>382</v>
      </c>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row>
    <row r="51" spans="1:53" s="8" customFormat="1" ht="54.75" customHeight="1" x14ac:dyDescent="0.2">
      <c r="A51" s="916"/>
      <c r="B51" s="917"/>
      <c r="C51" s="953"/>
      <c r="D51" s="1398"/>
      <c r="E51" s="1573"/>
      <c r="F51" s="910"/>
      <c r="G51" s="24"/>
      <c r="H51" s="932"/>
      <c r="I51" s="946"/>
      <c r="J51" s="680"/>
      <c r="K51" s="102"/>
      <c r="L51" s="946"/>
      <c r="M51" s="102"/>
      <c r="N51" s="932"/>
      <c r="O51" s="946"/>
      <c r="P51" s="680"/>
      <c r="Q51" s="1517"/>
      <c r="R51" s="77"/>
      <c r="S51" s="440"/>
      <c r="T51" s="169"/>
      <c r="U51" s="1608"/>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row>
    <row r="52" spans="1:53" s="8" customFormat="1" ht="15" customHeight="1" x14ac:dyDescent="0.2">
      <c r="A52" s="916"/>
      <c r="B52" s="917"/>
      <c r="C52" s="69"/>
      <c r="D52" s="1392" t="s">
        <v>132</v>
      </c>
      <c r="E52" s="1455"/>
      <c r="F52" s="1391"/>
      <c r="G52" s="58"/>
      <c r="H52" s="110"/>
      <c r="I52" s="145"/>
      <c r="J52" s="153"/>
      <c r="K52" s="110"/>
      <c r="L52" s="145"/>
      <c r="M52" s="153"/>
      <c r="N52" s="127"/>
      <c r="O52" s="145"/>
      <c r="P52" s="153"/>
      <c r="Q52" s="951" t="s">
        <v>94</v>
      </c>
      <c r="R52" s="135">
        <v>1</v>
      </c>
      <c r="S52" s="168"/>
      <c r="T52" s="167"/>
      <c r="U52" s="257"/>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row>
    <row r="53" spans="1:53" s="8" customFormat="1" ht="17.25" customHeight="1" x14ac:dyDescent="0.2">
      <c r="A53" s="916"/>
      <c r="B53" s="917"/>
      <c r="C53" s="918"/>
      <c r="D53" s="1393"/>
      <c r="E53" s="1435"/>
      <c r="F53" s="1391"/>
      <c r="G53" s="283"/>
      <c r="H53" s="613"/>
      <c r="I53" s="614"/>
      <c r="J53" s="152"/>
      <c r="K53" s="101"/>
      <c r="L53" s="614"/>
      <c r="M53" s="101"/>
      <c r="N53" s="613"/>
      <c r="O53" s="614"/>
      <c r="P53" s="152"/>
      <c r="Q53" s="285" t="s">
        <v>117</v>
      </c>
      <c r="R53" s="137"/>
      <c r="S53" s="137">
        <v>20</v>
      </c>
      <c r="T53" s="169">
        <v>100</v>
      </c>
      <c r="U53" s="257"/>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row>
    <row r="54" spans="1:53" s="8" customFormat="1" ht="15" customHeight="1" x14ac:dyDescent="0.2">
      <c r="A54" s="916"/>
      <c r="B54" s="917"/>
      <c r="C54" s="69"/>
      <c r="D54" s="1392" t="s">
        <v>197</v>
      </c>
      <c r="E54" s="1394" t="s">
        <v>102</v>
      </c>
      <c r="F54" s="1391"/>
      <c r="G54" s="24"/>
      <c r="H54" s="932"/>
      <c r="I54" s="946"/>
      <c r="J54" s="680"/>
      <c r="K54" s="102"/>
      <c r="L54" s="946"/>
      <c r="M54" s="102"/>
      <c r="N54" s="932"/>
      <c r="O54" s="946"/>
      <c r="P54" s="680"/>
      <c r="Q54" s="912" t="s">
        <v>94</v>
      </c>
      <c r="R54" s="135">
        <v>1</v>
      </c>
      <c r="S54" s="167"/>
      <c r="T54" s="167"/>
      <c r="U54" s="257"/>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row>
    <row r="55" spans="1:53" s="8" customFormat="1" ht="15.75" customHeight="1" x14ac:dyDescent="0.2">
      <c r="A55" s="916"/>
      <c r="B55" s="917"/>
      <c r="C55" s="918"/>
      <c r="D55" s="1393"/>
      <c r="E55" s="1395"/>
      <c r="F55" s="1391"/>
      <c r="G55" s="960"/>
      <c r="H55" s="932"/>
      <c r="I55" s="946"/>
      <c r="J55" s="680"/>
      <c r="K55" s="102"/>
      <c r="L55" s="946"/>
      <c r="M55" s="102"/>
      <c r="N55" s="932"/>
      <c r="O55" s="946"/>
      <c r="P55" s="680"/>
      <c r="Q55" s="398" t="s">
        <v>198</v>
      </c>
      <c r="R55" s="137"/>
      <c r="S55" s="169"/>
      <c r="T55" s="169"/>
      <c r="U55" s="257"/>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row>
    <row r="56" spans="1:53" s="8" customFormat="1" ht="13.5" customHeight="1" x14ac:dyDescent="0.2">
      <c r="A56" s="916"/>
      <c r="B56" s="917"/>
      <c r="C56" s="953"/>
      <c r="D56" s="1373" t="s">
        <v>134</v>
      </c>
      <c r="E56" s="1394" t="s">
        <v>138</v>
      </c>
      <c r="F56" s="910"/>
      <c r="G56" s="58" t="s">
        <v>49</v>
      </c>
      <c r="H56" s="110"/>
      <c r="I56" s="145"/>
      <c r="J56" s="153"/>
      <c r="K56" s="127"/>
      <c r="L56" s="145"/>
      <c r="M56" s="127"/>
      <c r="N56" s="110"/>
      <c r="O56" s="145"/>
      <c r="P56" s="153"/>
      <c r="Q56" s="951" t="s">
        <v>94</v>
      </c>
      <c r="R56" s="168"/>
      <c r="S56" s="175"/>
      <c r="T56" s="168"/>
      <c r="U56" s="257"/>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row>
    <row r="57" spans="1:53" s="8" customFormat="1" ht="26.25" customHeight="1" x14ac:dyDescent="0.2">
      <c r="A57" s="916"/>
      <c r="B57" s="917"/>
      <c r="C57" s="953"/>
      <c r="D57" s="1398"/>
      <c r="E57" s="1435"/>
      <c r="F57" s="910"/>
      <c r="G57" s="59"/>
      <c r="H57" s="613"/>
      <c r="I57" s="614"/>
      <c r="J57" s="152"/>
      <c r="K57" s="101"/>
      <c r="L57" s="614"/>
      <c r="M57" s="101"/>
      <c r="N57" s="613"/>
      <c r="O57" s="614"/>
      <c r="P57" s="152"/>
      <c r="Q57" s="285" t="s">
        <v>116</v>
      </c>
      <c r="R57" s="137"/>
      <c r="S57" s="176"/>
      <c r="T57" s="169"/>
      <c r="U57" s="257"/>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row>
    <row r="58" spans="1:53" s="8" customFormat="1" ht="19.5" customHeight="1" x14ac:dyDescent="0.2">
      <c r="A58" s="916"/>
      <c r="B58" s="917"/>
      <c r="C58" s="918"/>
      <c r="D58" s="1387" t="s">
        <v>240</v>
      </c>
      <c r="E58" s="1394" t="s">
        <v>138</v>
      </c>
      <c r="F58" s="910"/>
      <c r="G58" s="58"/>
      <c r="H58" s="110"/>
      <c r="I58" s="145"/>
      <c r="J58" s="153"/>
      <c r="K58" s="127"/>
      <c r="L58" s="145"/>
      <c r="M58" s="127"/>
      <c r="N58" s="110"/>
      <c r="O58" s="145"/>
      <c r="P58" s="153"/>
      <c r="Q58" s="1444" t="s">
        <v>241</v>
      </c>
      <c r="R58" s="666"/>
      <c r="S58" s="203"/>
      <c r="T58" s="666">
        <v>30</v>
      </c>
      <c r="U58" s="48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row>
    <row r="59" spans="1:53" s="8" customFormat="1" ht="10.5" customHeight="1" x14ac:dyDescent="0.2">
      <c r="A59" s="916"/>
      <c r="B59" s="917"/>
      <c r="C59" s="918"/>
      <c r="D59" s="1436"/>
      <c r="E59" s="1437"/>
      <c r="F59" s="910"/>
      <c r="G59" s="59"/>
      <c r="H59" s="613"/>
      <c r="I59" s="614"/>
      <c r="J59" s="152"/>
      <c r="K59" s="101"/>
      <c r="L59" s="614"/>
      <c r="M59" s="101"/>
      <c r="N59" s="613"/>
      <c r="O59" s="614"/>
      <c r="P59" s="152"/>
      <c r="Q59" s="1446"/>
      <c r="R59" s="667"/>
      <c r="S59" s="450"/>
      <c r="T59" s="667"/>
      <c r="U59" s="298"/>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row>
    <row r="60" spans="1:53" s="8" customFormat="1" ht="16.5" customHeight="1" thickBot="1" x14ac:dyDescent="0.25">
      <c r="A60" s="928"/>
      <c r="B60" s="268"/>
      <c r="C60" s="33"/>
      <c r="D60" s="786"/>
      <c r="E60" s="787"/>
      <c r="F60" s="624"/>
      <c r="G60" s="35" t="s">
        <v>6</v>
      </c>
      <c r="H60" s="177">
        <f t="shared" ref="H60:P60" si="0">SUM(H15:H59)</f>
        <v>1656.8</v>
      </c>
      <c r="I60" s="424">
        <f>SUM(I15:I59)</f>
        <v>1221.4000000000001</v>
      </c>
      <c r="J60" s="423">
        <f t="shared" si="0"/>
        <v>-435.4</v>
      </c>
      <c r="K60" s="177">
        <f t="shared" si="0"/>
        <v>1324.5</v>
      </c>
      <c r="L60" s="424">
        <f t="shared" si="0"/>
        <v>1524.5</v>
      </c>
      <c r="M60" s="423">
        <f t="shared" si="0"/>
        <v>200</v>
      </c>
      <c r="N60" s="177">
        <f t="shared" si="0"/>
        <v>1522.5</v>
      </c>
      <c r="O60" s="424">
        <f t="shared" si="0"/>
        <v>1522.5</v>
      </c>
      <c r="P60" s="423">
        <f t="shared" si="0"/>
        <v>0</v>
      </c>
      <c r="Q60" s="226"/>
      <c r="R60" s="41"/>
      <c r="S60" s="460"/>
      <c r="T60" s="410"/>
      <c r="U60" s="411"/>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row>
    <row r="61" spans="1:53" s="8" customFormat="1" ht="12.75" customHeight="1" x14ac:dyDescent="0.2">
      <c r="A61" s="916" t="s">
        <v>5</v>
      </c>
      <c r="B61" s="922" t="s">
        <v>5</v>
      </c>
      <c r="C61" s="918" t="s">
        <v>7</v>
      </c>
      <c r="D61" s="1459" t="s">
        <v>53</v>
      </c>
      <c r="E61" s="777"/>
      <c r="F61" s="947" t="s">
        <v>27</v>
      </c>
      <c r="G61" s="183" t="s">
        <v>24</v>
      </c>
      <c r="H61" s="161">
        <v>3094.7</v>
      </c>
      <c r="I61" s="161">
        <f>3084.7+10</f>
        <v>3094.7</v>
      </c>
      <c r="J61" s="1048"/>
      <c r="K61" s="129">
        <v>3102.6</v>
      </c>
      <c r="L61" s="161">
        <v>3102.6</v>
      </c>
      <c r="M61" s="128"/>
      <c r="N61" s="129">
        <v>3102.6</v>
      </c>
      <c r="O61" s="161">
        <v>3102.6</v>
      </c>
      <c r="P61" s="188"/>
      <c r="Q61" s="1049"/>
      <c r="R61" s="1050"/>
      <c r="S61" s="1051"/>
      <c r="T61" s="1052"/>
      <c r="U61" s="1274"/>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row>
    <row r="62" spans="1:53" s="8" customFormat="1" ht="12.75" customHeight="1" x14ac:dyDescent="0.2">
      <c r="A62" s="1019"/>
      <c r="B62" s="1021"/>
      <c r="C62" s="1022"/>
      <c r="D62" s="1459"/>
      <c r="E62" s="773"/>
      <c r="F62" s="1020"/>
      <c r="G62" s="1023" t="s">
        <v>58</v>
      </c>
      <c r="H62" s="946">
        <v>132.19999999999999</v>
      </c>
      <c r="I62" s="946">
        <v>132.19999999999999</v>
      </c>
      <c r="J62" s="1047"/>
      <c r="K62" s="932"/>
      <c r="L62" s="946"/>
      <c r="M62" s="102"/>
      <c r="N62" s="932"/>
      <c r="O62" s="946"/>
      <c r="P62" s="680"/>
      <c r="Q62" s="782"/>
      <c r="R62" s="284"/>
      <c r="S62" s="262"/>
      <c r="T62" s="901"/>
      <c r="U62" s="1274"/>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row>
    <row r="63" spans="1:53" s="8" customFormat="1" ht="12" customHeight="1" x14ac:dyDescent="0.2">
      <c r="A63" s="916"/>
      <c r="B63" s="922"/>
      <c r="C63" s="918"/>
      <c r="D63" s="1390"/>
      <c r="E63" s="773"/>
      <c r="F63" s="910"/>
      <c r="G63" s="960" t="s">
        <v>40</v>
      </c>
      <c r="H63" s="946">
        <v>2</v>
      </c>
      <c r="I63" s="946">
        <v>2</v>
      </c>
      <c r="J63" s="102"/>
      <c r="K63" s="932">
        <v>2</v>
      </c>
      <c r="L63" s="946">
        <v>2</v>
      </c>
      <c r="M63" s="102"/>
      <c r="N63" s="932">
        <v>2</v>
      </c>
      <c r="O63" s="946">
        <v>2</v>
      </c>
      <c r="P63" s="680"/>
      <c r="Q63" s="782"/>
      <c r="R63" s="284"/>
      <c r="S63" s="262"/>
      <c r="T63" s="901"/>
      <c r="U63" s="1274"/>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row>
    <row r="64" spans="1:53" s="8" customFormat="1" ht="13.5" customHeight="1" x14ac:dyDescent="0.2">
      <c r="A64" s="916"/>
      <c r="B64" s="922"/>
      <c r="C64" s="918"/>
      <c r="D64" s="935"/>
      <c r="E64" s="773"/>
      <c r="F64" s="910"/>
      <c r="G64" s="960" t="s">
        <v>87</v>
      </c>
      <c r="H64" s="946">
        <v>1.8</v>
      </c>
      <c r="I64" s="946">
        <v>1.8</v>
      </c>
      <c r="J64" s="1047"/>
      <c r="K64" s="932"/>
      <c r="L64" s="946"/>
      <c r="M64" s="102"/>
      <c r="N64" s="932"/>
      <c r="O64" s="946"/>
      <c r="P64" s="680"/>
      <c r="Q64" s="782"/>
      <c r="R64" s="284"/>
      <c r="S64" s="262"/>
      <c r="T64" s="901"/>
      <c r="U64" s="1274"/>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row>
    <row r="65" spans="1:53" s="8" customFormat="1" ht="26.25" customHeight="1" x14ac:dyDescent="0.2">
      <c r="A65" s="1388"/>
      <c r="B65" s="1438"/>
      <c r="C65" s="1397"/>
      <c r="D65" s="1373" t="s">
        <v>68</v>
      </c>
      <c r="E65" s="1441"/>
      <c r="F65" s="1434"/>
      <c r="G65" s="7" t="s">
        <v>24</v>
      </c>
      <c r="H65" s="110"/>
      <c r="I65" s="145"/>
      <c r="J65" s="97"/>
      <c r="K65" s="110"/>
      <c r="L65" s="1094">
        <v>-150</v>
      </c>
      <c r="M65" s="1096">
        <f>L65-K65</f>
        <v>-150</v>
      </c>
      <c r="N65" s="110"/>
      <c r="O65" s="145"/>
      <c r="P65" s="153"/>
      <c r="Q65" s="702" t="s">
        <v>210</v>
      </c>
      <c r="R65" s="629">
        <v>8.6</v>
      </c>
      <c r="S65" s="630">
        <v>8.6</v>
      </c>
      <c r="T65" s="347">
        <v>8.6</v>
      </c>
      <c r="U65" s="1605" t="s">
        <v>398</v>
      </c>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row>
    <row r="66" spans="1:53" s="8" customFormat="1" ht="30" customHeight="1" x14ac:dyDescent="0.2">
      <c r="A66" s="1388"/>
      <c r="B66" s="1438"/>
      <c r="C66" s="1397"/>
      <c r="D66" s="1390"/>
      <c r="E66" s="1442"/>
      <c r="F66" s="1434"/>
      <c r="G66" s="960"/>
      <c r="H66" s="932"/>
      <c r="I66" s="946"/>
      <c r="J66" s="98"/>
      <c r="K66" s="932"/>
      <c r="L66" s="946"/>
      <c r="M66" s="102"/>
      <c r="N66" s="932"/>
      <c r="O66" s="946"/>
      <c r="P66" s="680"/>
      <c r="Q66" s="631" t="s">
        <v>164</v>
      </c>
      <c r="R66" s="135">
        <v>445</v>
      </c>
      <c r="S66" s="135">
        <v>445</v>
      </c>
      <c r="T66" s="135">
        <v>445</v>
      </c>
      <c r="U66" s="1618"/>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row>
    <row r="67" spans="1:53" s="8" customFormat="1" ht="13.5" customHeight="1" x14ac:dyDescent="0.2">
      <c r="A67" s="1388"/>
      <c r="B67" s="1438"/>
      <c r="C67" s="1397"/>
      <c r="D67" s="1392" t="s">
        <v>37</v>
      </c>
      <c r="E67" s="952"/>
      <c r="F67" s="910"/>
      <c r="G67" s="7"/>
      <c r="H67" s="110"/>
      <c r="I67" s="1094"/>
      <c r="J67" s="1144"/>
      <c r="K67" s="110"/>
      <c r="L67" s="145"/>
      <c r="M67" s="127"/>
      <c r="N67" s="110"/>
      <c r="O67" s="145"/>
      <c r="P67" s="153"/>
      <c r="Q67" s="1145" t="s">
        <v>39</v>
      </c>
      <c r="R67" s="34">
        <v>46</v>
      </c>
      <c r="S67" s="470">
        <v>46</v>
      </c>
      <c r="T67" s="136">
        <v>46</v>
      </c>
      <c r="U67" s="1274"/>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row>
    <row r="68" spans="1:53" s="8" customFormat="1" ht="24.75" customHeight="1" x14ac:dyDescent="0.2">
      <c r="A68" s="1388"/>
      <c r="B68" s="1438"/>
      <c r="C68" s="1397"/>
      <c r="D68" s="1460"/>
      <c r="E68" s="952"/>
      <c r="F68" s="910"/>
      <c r="G68" s="1158"/>
      <c r="H68" s="932"/>
      <c r="I68" s="946"/>
      <c r="J68" s="98"/>
      <c r="K68" s="932"/>
      <c r="L68" s="946"/>
      <c r="M68" s="102"/>
      <c r="N68" s="932"/>
      <c r="O68" s="946"/>
      <c r="P68" s="680"/>
      <c r="Q68" s="1175" t="s">
        <v>69</v>
      </c>
      <c r="R68" s="383">
        <v>1500</v>
      </c>
      <c r="S68" s="142">
        <v>1500</v>
      </c>
      <c r="T68" s="383">
        <v>1500</v>
      </c>
      <c r="U68" s="1275"/>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row>
    <row r="69" spans="1:53" s="8" customFormat="1" ht="42.75" customHeight="1" x14ac:dyDescent="0.2">
      <c r="A69" s="1149"/>
      <c r="B69" s="1151"/>
      <c r="C69" s="1152"/>
      <c r="D69" s="1153"/>
      <c r="E69" s="1154"/>
      <c r="F69" s="1150"/>
      <c r="G69" s="1167"/>
      <c r="H69" s="932"/>
      <c r="I69" s="1046"/>
      <c r="J69" s="1172"/>
      <c r="K69" s="932"/>
      <c r="L69" s="946"/>
      <c r="M69" s="102"/>
      <c r="N69" s="932"/>
      <c r="O69" s="946"/>
      <c r="P69" s="680"/>
      <c r="Q69" s="1203" t="s">
        <v>369</v>
      </c>
      <c r="R69" s="383">
        <v>1</v>
      </c>
      <c r="S69" s="142"/>
      <c r="T69" s="383"/>
      <c r="U69" s="1275"/>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row>
    <row r="70" spans="1:53" s="8" customFormat="1" ht="34.5" customHeight="1" x14ac:dyDescent="0.2">
      <c r="A70" s="1159"/>
      <c r="B70" s="1162"/>
      <c r="C70" s="1160"/>
      <c r="D70" s="1164"/>
      <c r="E70" s="1163"/>
      <c r="F70" s="1161"/>
      <c r="G70" s="1280"/>
      <c r="H70" s="932"/>
      <c r="I70" s="1046"/>
      <c r="J70" s="1172"/>
      <c r="K70" s="932"/>
      <c r="L70" s="946"/>
      <c r="M70" s="102"/>
      <c r="N70" s="932"/>
      <c r="O70" s="946"/>
      <c r="P70" s="680"/>
      <c r="Q70" s="1197" t="s">
        <v>368</v>
      </c>
      <c r="R70" s="1143"/>
      <c r="S70" s="1142">
        <v>1</v>
      </c>
      <c r="T70" s="1143"/>
      <c r="U70" s="1275"/>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row>
    <row r="71" spans="1:53" s="8" customFormat="1" ht="16.5" customHeight="1" x14ac:dyDescent="0.2">
      <c r="A71" s="916"/>
      <c r="B71" s="922"/>
      <c r="C71" s="918"/>
      <c r="D71" s="1392" t="s">
        <v>115</v>
      </c>
      <c r="E71" s="914"/>
      <c r="F71" s="910"/>
      <c r="G71" s="1280"/>
      <c r="H71" s="932"/>
      <c r="I71" s="946"/>
      <c r="J71" s="98"/>
      <c r="K71" s="932"/>
      <c r="L71" s="946"/>
      <c r="M71" s="102"/>
      <c r="N71" s="932"/>
      <c r="O71" s="946"/>
      <c r="P71" s="680"/>
      <c r="Q71" s="1157" t="s">
        <v>142</v>
      </c>
      <c r="R71" s="256" t="s">
        <v>251</v>
      </c>
      <c r="S71" s="32" t="s">
        <v>251</v>
      </c>
      <c r="T71" s="256" t="s">
        <v>251</v>
      </c>
      <c r="U71" s="1276"/>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row>
    <row r="72" spans="1:53" s="8" customFormat="1" ht="36.75" customHeight="1" x14ac:dyDescent="0.2">
      <c r="A72" s="916"/>
      <c r="B72" s="922"/>
      <c r="C72" s="918"/>
      <c r="D72" s="1447"/>
      <c r="E72" s="914"/>
      <c r="F72" s="910"/>
      <c r="G72" s="1280"/>
      <c r="H72" s="932"/>
      <c r="I72" s="946"/>
      <c r="J72" s="98"/>
      <c r="K72" s="932"/>
      <c r="L72" s="946"/>
      <c r="M72" s="102"/>
      <c r="N72" s="932"/>
      <c r="O72" s="946"/>
      <c r="P72" s="680"/>
      <c r="Q72" s="130" t="s">
        <v>143</v>
      </c>
      <c r="R72" s="292" t="s">
        <v>112</v>
      </c>
      <c r="S72" s="1031" t="s">
        <v>112</v>
      </c>
      <c r="T72" s="292" t="s">
        <v>112</v>
      </c>
      <c r="U72" s="326"/>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row>
    <row r="73" spans="1:53" s="8" customFormat="1" ht="27.75" customHeight="1" x14ac:dyDescent="0.2">
      <c r="A73" s="916"/>
      <c r="B73" s="922"/>
      <c r="C73" s="918"/>
      <c r="D73" s="911" t="s">
        <v>57</v>
      </c>
      <c r="E73" s="914"/>
      <c r="F73" s="910"/>
      <c r="G73" s="283"/>
      <c r="H73" s="613"/>
      <c r="I73" s="614"/>
      <c r="J73" s="96"/>
      <c r="K73" s="613"/>
      <c r="L73" s="614"/>
      <c r="M73" s="101"/>
      <c r="N73" s="613"/>
      <c r="O73" s="614"/>
      <c r="P73" s="152"/>
      <c r="Q73" s="319" t="s">
        <v>38</v>
      </c>
      <c r="R73" s="320">
        <v>11</v>
      </c>
      <c r="S73" s="320">
        <v>11</v>
      </c>
      <c r="T73" s="320">
        <v>11</v>
      </c>
      <c r="U73" s="197"/>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row>
    <row r="74" spans="1:53" ht="74.25" customHeight="1" x14ac:dyDescent="0.2">
      <c r="A74" s="916"/>
      <c r="B74" s="922"/>
      <c r="C74" s="918"/>
      <c r="D74" s="911" t="s">
        <v>288</v>
      </c>
      <c r="E74" s="914"/>
      <c r="F74" s="910"/>
      <c r="G74" s="1280" t="s">
        <v>24</v>
      </c>
      <c r="H74" s="932"/>
      <c r="I74" s="1046">
        <v>-185</v>
      </c>
      <c r="J74" s="1172">
        <f>I74-H74</f>
        <v>-185</v>
      </c>
      <c r="K74" s="932"/>
      <c r="L74" s="1046">
        <v>100</v>
      </c>
      <c r="M74" s="1047">
        <f>L74-K74</f>
        <v>100</v>
      </c>
      <c r="N74" s="932"/>
      <c r="O74" s="946"/>
      <c r="P74" s="680"/>
      <c r="Q74" s="1301" t="s">
        <v>250</v>
      </c>
      <c r="R74" s="1312" t="s">
        <v>377</v>
      </c>
      <c r="S74" s="1313">
        <v>100</v>
      </c>
      <c r="T74" s="136"/>
      <c r="U74" s="1605" t="s">
        <v>383</v>
      </c>
    </row>
    <row r="75" spans="1:53" ht="31.5" customHeight="1" x14ac:dyDescent="0.2">
      <c r="A75" s="1236"/>
      <c r="B75" s="1243"/>
      <c r="C75" s="1241"/>
      <c r="D75" s="1252"/>
      <c r="E75" s="1233"/>
      <c r="F75" s="69"/>
      <c r="G75" s="419"/>
      <c r="H75" s="613"/>
      <c r="I75" s="614"/>
      <c r="J75" s="101"/>
      <c r="K75" s="613"/>
      <c r="L75" s="486"/>
      <c r="M75" s="1309"/>
      <c r="N75" s="613"/>
      <c r="O75" s="614"/>
      <c r="P75" s="152"/>
      <c r="Q75" s="225"/>
      <c r="R75" s="77"/>
      <c r="S75" s="458"/>
      <c r="T75" s="137"/>
      <c r="U75" s="1608"/>
    </row>
    <row r="76" spans="1:53" s="8" customFormat="1" ht="16.5" customHeight="1" thickBot="1" x14ac:dyDescent="0.25">
      <c r="A76" s="916"/>
      <c r="B76" s="917"/>
      <c r="C76" s="953"/>
      <c r="D76" s="786"/>
      <c r="E76" s="787"/>
      <c r="F76" s="624"/>
      <c r="G76" s="35" t="s">
        <v>6</v>
      </c>
      <c r="H76" s="177">
        <f>SUM(H61:H74)</f>
        <v>3230.7</v>
      </c>
      <c r="I76" s="424">
        <f>SUM(I61:I74)</f>
        <v>3045.7</v>
      </c>
      <c r="J76" s="423">
        <f>SUM(J61:J74)</f>
        <v>-185</v>
      </c>
      <c r="K76" s="177">
        <f t="shared" ref="K76" si="1">SUM(K61:K74)</f>
        <v>3104.6</v>
      </c>
      <c r="L76" s="424">
        <f>SUM(L61:L74)</f>
        <v>3054.6</v>
      </c>
      <c r="M76" s="424">
        <f>SUM(M61:M74)</f>
        <v>-50</v>
      </c>
      <c r="N76" s="177">
        <f t="shared" ref="N76:O76" si="2">SUM(N61:N74)</f>
        <v>3104.6</v>
      </c>
      <c r="O76" s="424">
        <f t="shared" si="2"/>
        <v>3104.6</v>
      </c>
      <c r="P76" s="423">
        <f t="shared" ref="P76" si="3">SUM(P61:P74)</f>
        <v>0</v>
      </c>
      <c r="Q76" s="226"/>
      <c r="R76" s="41"/>
      <c r="S76" s="460"/>
      <c r="T76" s="410"/>
      <c r="U76" s="536"/>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row>
    <row r="77" spans="1:53" ht="14.25" customHeight="1" x14ac:dyDescent="0.2">
      <c r="A77" s="927" t="s">
        <v>5</v>
      </c>
      <c r="B77" s="929" t="s">
        <v>5</v>
      </c>
      <c r="C77" s="236" t="s">
        <v>26</v>
      </c>
      <c r="D77" s="1452" t="s">
        <v>54</v>
      </c>
      <c r="E77" s="247"/>
      <c r="F77" s="947" t="s">
        <v>27</v>
      </c>
      <c r="G77" s="183" t="s">
        <v>24</v>
      </c>
      <c r="H77" s="129">
        <f>964.6-66.3</f>
        <v>898.3</v>
      </c>
      <c r="I77" s="161">
        <f>964.6-66.3</f>
        <v>898.3</v>
      </c>
      <c r="J77" s="188"/>
      <c r="K77" s="129">
        <f>1067.6+70.8</f>
        <v>1138.4000000000001</v>
      </c>
      <c r="L77" s="161">
        <f>1067.6+70.8</f>
        <v>1138.4000000000001</v>
      </c>
      <c r="M77" s="188"/>
      <c r="N77" s="129">
        <v>958.3</v>
      </c>
      <c r="O77" s="161">
        <v>958.3</v>
      </c>
      <c r="P77" s="188"/>
      <c r="Q77" s="785"/>
      <c r="R77" s="779"/>
      <c r="S77" s="780"/>
      <c r="T77" s="972"/>
      <c r="U77" s="1621"/>
    </row>
    <row r="78" spans="1:53" ht="13.5" customHeight="1" x14ac:dyDescent="0.2">
      <c r="A78" s="916"/>
      <c r="B78" s="922"/>
      <c r="C78" s="953"/>
      <c r="D78" s="1453"/>
      <c r="E78" s="246"/>
      <c r="F78" s="910"/>
      <c r="G78" s="960" t="s">
        <v>58</v>
      </c>
      <c r="H78" s="932">
        <v>36</v>
      </c>
      <c r="I78" s="946">
        <v>36</v>
      </c>
      <c r="J78" s="680"/>
      <c r="K78" s="932"/>
      <c r="L78" s="946"/>
      <c r="M78" s="680"/>
      <c r="N78" s="932"/>
      <c r="O78" s="946"/>
      <c r="P78" s="680"/>
      <c r="Q78" s="945"/>
      <c r="R78" s="284"/>
      <c r="S78" s="262"/>
      <c r="T78" s="901"/>
      <c r="U78" s="1603"/>
    </row>
    <row r="79" spans="1:53" ht="13.5" customHeight="1" x14ac:dyDescent="0.2">
      <c r="A79" s="916"/>
      <c r="B79" s="922"/>
      <c r="C79" s="953"/>
      <c r="D79" s="1390"/>
      <c r="E79" s="246"/>
      <c r="F79" s="910"/>
      <c r="G79" s="960" t="s">
        <v>40</v>
      </c>
      <c r="H79" s="932">
        <v>32.700000000000003</v>
      </c>
      <c r="I79" s="946">
        <v>32.700000000000003</v>
      </c>
      <c r="J79" s="680"/>
      <c r="K79" s="932">
        <v>32.700000000000003</v>
      </c>
      <c r="L79" s="946">
        <v>32.700000000000003</v>
      </c>
      <c r="M79" s="680"/>
      <c r="N79" s="932">
        <v>32.700000000000003</v>
      </c>
      <c r="O79" s="946">
        <v>32.700000000000003</v>
      </c>
      <c r="P79" s="680"/>
      <c r="Q79" s="945"/>
      <c r="R79" s="284"/>
      <c r="S79" s="262"/>
      <c r="T79" s="901"/>
      <c r="U79" s="1603"/>
    </row>
    <row r="80" spans="1:53" ht="12" customHeight="1" x14ac:dyDescent="0.2">
      <c r="A80" s="916"/>
      <c r="B80" s="922"/>
      <c r="C80" s="953"/>
      <c r="D80" s="1454"/>
      <c r="E80" s="793"/>
      <c r="F80" s="910"/>
      <c r="G80" s="960" t="s">
        <v>87</v>
      </c>
      <c r="H80" s="932">
        <v>2.6</v>
      </c>
      <c r="I80" s="614">
        <v>2.6</v>
      </c>
      <c r="J80" s="1053"/>
      <c r="K80" s="102"/>
      <c r="L80" s="946"/>
      <c r="M80" s="680"/>
      <c r="N80" s="102"/>
      <c r="O80" s="946"/>
      <c r="P80" s="680"/>
      <c r="Q80" s="148"/>
      <c r="R80" s="775"/>
      <c r="S80" s="588"/>
      <c r="T80" s="973"/>
      <c r="U80" s="1603"/>
    </row>
    <row r="81" spans="1:21" ht="24.75" customHeight="1" x14ac:dyDescent="0.2">
      <c r="A81" s="916"/>
      <c r="B81" s="922"/>
      <c r="C81" s="953"/>
      <c r="D81" s="1387" t="s">
        <v>327</v>
      </c>
      <c r="E81" s="1376" t="s">
        <v>65</v>
      </c>
      <c r="F81" s="910"/>
      <c r="G81" s="58"/>
      <c r="H81" s="110"/>
      <c r="I81" s="1094"/>
      <c r="J81" s="1095"/>
      <c r="K81" s="968"/>
      <c r="L81" s="1094"/>
      <c r="M81" s="1095"/>
      <c r="N81" s="968"/>
      <c r="O81" s="970"/>
      <c r="P81" s="697"/>
      <c r="Q81" s="951" t="s">
        <v>296</v>
      </c>
      <c r="R81" s="203">
        <v>60</v>
      </c>
      <c r="S81" s="546">
        <v>80</v>
      </c>
      <c r="T81" s="666">
        <v>100</v>
      </c>
      <c r="U81" s="1603"/>
    </row>
    <row r="82" spans="1:21" ht="27" customHeight="1" x14ac:dyDescent="0.2">
      <c r="A82" s="916"/>
      <c r="B82" s="922"/>
      <c r="C82" s="953"/>
      <c r="D82" s="1390"/>
      <c r="E82" s="1455"/>
      <c r="F82" s="910"/>
      <c r="G82" s="24"/>
      <c r="H82" s="932"/>
      <c r="I82" s="946"/>
      <c r="J82" s="680"/>
      <c r="K82" s="102"/>
      <c r="L82" s="946"/>
      <c r="M82" s="680"/>
      <c r="N82" s="102"/>
      <c r="O82" s="946"/>
      <c r="P82" s="680"/>
      <c r="Q82" s="699" t="s">
        <v>211</v>
      </c>
      <c r="R82" s="293">
        <v>4</v>
      </c>
      <c r="S82" s="465">
        <v>4</v>
      </c>
      <c r="T82" s="975">
        <v>4</v>
      </c>
      <c r="U82" s="483"/>
    </row>
    <row r="83" spans="1:21" ht="11.25" customHeight="1" x14ac:dyDescent="0.2">
      <c r="A83" s="916"/>
      <c r="B83" s="922"/>
      <c r="C83" s="953"/>
      <c r="D83" s="926"/>
      <c r="E83" s="694"/>
      <c r="F83" s="910"/>
      <c r="G83" s="24"/>
      <c r="H83" s="932"/>
      <c r="I83" s="946"/>
      <c r="J83" s="680"/>
      <c r="K83" s="932"/>
      <c r="L83" s="946"/>
      <c r="M83" s="680"/>
      <c r="N83" s="932"/>
      <c r="O83" s="946"/>
      <c r="P83" s="680"/>
      <c r="Q83" s="945" t="s">
        <v>175</v>
      </c>
      <c r="R83" s="139">
        <v>40</v>
      </c>
      <c r="S83" s="454">
        <v>40</v>
      </c>
      <c r="T83" s="976">
        <v>40</v>
      </c>
      <c r="U83" s="483"/>
    </row>
    <row r="84" spans="1:21" ht="14.25" customHeight="1" x14ac:dyDescent="0.2">
      <c r="A84" s="916"/>
      <c r="B84" s="922"/>
      <c r="C84" s="953"/>
      <c r="D84" s="913"/>
      <c r="E84" s="694"/>
      <c r="F84" s="910"/>
      <c r="G84" s="24"/>
      <c r="H84" s="931"/>
      <c r="I84" s="933"/>
      <c r="J84" s="754"/>
      <c r="K84" s="332"/>
      <c r="L84" s="933"/>
      <c r="M84" s="754"/>
      <c r="N84" s="332"/>
      <c r="O84" s="933"/>
      <c r="P84" s="754"/>
      <c r="Q84" s="17" t="s">
        <v>332</v>
      </c>
      <c r="R84" s="633">
        <v>15</v>
      </c>
      <c r="S84" s="633">
        <v>15</v>
      </c>
      <c r="T84" s="961">
        <v>15</v>
      </c>
      <c r="U84" s="483"/>
    </row>
    <row r="85" spans="1:21" ht="28.5" customHeight="1" x14ac:dyDescent="0.2">
      <c r="A85" s="916"/>
      <c r="B85" s="922"/>
      <c r="C85" s="953"/>
      <c r="D85" s="789"/>
      <c r="E85" s="590"/>
      <c r="F85" s="591"/>
      <c r="G85" s="596"/>
      <c r="H85" s="932"/>
      <c r="I85" s="946"/>
      <c r="J85" s="680"/>
      <c r="K85" s="969"/>
      <c r="L85" s="966"/>
      <c r="M85" s="599"/>
      <c r="N85" s="969"/>
      <c r="O85" s="966"/>
      <c r="P85" s="599"/>
      <c r="Q85" s="1146" t="s">
        <v>333</v>
      </c>
      <c r="R85" s="1147"/>
      <c r="S85" s="1207">
        <v>1</v>
      </c>
      <c r="T85" s="1148"/>
      <c r="U85" s="1208"/>
    </row>
    <row r="86" spans="1:21" ht="39" customHeight="1" x14ac:dyDescent="0.2">
      <c r="A86" s="916"/>
      <c r="B86" s="922"/>
      <c r="C86" s="953"/>
      <c r="D86" s="595"/>
      <c r="E86" s="590"/>
      <c r="F86" s="591"/>
      <c r="G86" s="596"/>
      <c r="H86" s="597"/>
      <c r="I86" s="966"/>
      <c r="J86" s="599"/>
      <c r="K86" s="969"/>
      <c r="L86" s="966"/>
      <c r="M86" s="599"/>
      <c r="N86" s="969"/>
      <c r="O86" s="966"/>
      <c r="P86" s="599"/>
      <c r="Q86" s="938" t="s">
        <v>187</v>
      </c>
      <c r="R86" s="139"/>
      <c r="S86" s="454"/>
      <c r="T86" s="976"/>
      <c r="U86" s="483"/>
    </row>
    <row r="87" spans="1:21" ht="12.95" customHeight="1" x14ac:dyDescent="0.2">
      <c r="A87" s="916"/>
      <c r="B87" s="922"/>
      <c r="C87" s="953"/>
      <c r="D87" s="913"/>
      <c r="E87" s="87"/>
      <c r="F87" s="910"/>
      <c r="G87" s="24"/>
      <c r="H87" s="932"/>
      <c r="I87" s="946"/>
      <c r="J87" s="680"/>
      <c r="K87" s="102"/>
      <c r="L87" s="946"/>
      <c r="M87" s="680"/>
      <c r="N87" s="102"/>
      <c r="O87" s="946"/>
      <c r="P87" s="680"/>
      <c r="Q87" s="635" t="s">
        <v>200</v>
      </c>
      <c r="R87" s="293">
        <v>1</v>
      </c>
      <c r="S87" s="465"/>
      <c r="T87" s="975"/>
      <c r="U87" s="483"/>
    </row>
    <row r="88" spans="1:21" ht="12.95" customHeight="1" x14ac:dyDescent="0.2">
      <c r="A88" s="916"/>
      <c r="B88" s="922"/>
      <c r="C88" s="953"/>
      <c r="D88" s="913"/>
      <c r="E88" s="87"/>
      <c r="F88" s="910"/>
      <c r="G88" s="1320" t="s">
        <v>24</v>
      </c>
      <c r="H88" s="1321"/>
      <c r="I88" s="1322"/>
      <c r="J88" s="1315"/>
      <c r="K88" s="1321"/>
      <c r="L88" s="1322">
        <v>-150</v>
      </c>
      <c r="M88" s="1315">
        <f>L88-K88</f>
        <v>-150</v>
      </c>
      <c r="N88" s="1323"/>
      <c r="O88" s="1322">
        <v>150</v>
      </c>
      <c r="P88" s="1315">
        <f>O88-N88</f>
        <v>150</v>
      </c>
      <c r="Q88" s="430" t="s">
        <v>201</v>
      </c>
      <c r="R88" s="248"/>
      <c r="S88" s="1318">
        <v>3</v>
      </c>
      <c r="T88" s="1316">
        <v>3</v>
      </c>
      <c r="U88" s="1609" t="s">
        <v>384</v>
      </c>
    </row>
    <row r="89" spans="1:21" ht="12.95" customHeight="1" x14ac:dyDescent="0.2">
      <c r="A89" s="916"/>
      <c r="B89" s="922"/>
      <c r="C89" s="953"/>
      <c r="D89" s="913"/>
      <c r="E89" s="87"/>
      <c r="F89" s="910"/>
      <c r="G89" s="1324"/>
      <c r="H89" s="1075"/>
      <c r="I89" s="1046"/>
      <c r="J89" s="1053"/>
      <c r="K89" s="1075"/>
      <c r="L89" s="1046"/>
      <c r="M89" s="1053"/>
      <c r="N89" s="1047"/>
      <c r="O89" s="1046"/>
      <c r="P89" s="1053"/>
      <c r="Q89" s="296" t="s">
        <v>202</v>
      </c>
      <c r="R89" s="139"/>
      <c r="S89" s="454"/>
      <c r="T89" s="976"/>
      <c r="U89" s="1611"/>
    </row>
    <row r="90" spans="1:21" ht="39.75" customHeight="1" x14ac:dyDescent="0.2">
      <c r="A90" s="916"/>
      <c r="B90" s="922"/>
      <c r="C90" s="953"/>
      <c r="D90" s="913"/>
      <c r="E90" s="87"/>
      <c r="F90" s="910"/>
      <c r="G90" s="1325"/>
      <c r="H90" s="1326"/>
      <c r="I90" s="1327"/>
      <c r="J90" s="1328"/>
      <c r="K90" s="1326"/>
      <c r="L90" s="1327"/>
      <c r="M90" s="1328"/>
      <c r="N90" s="1329"/>
      <c r="O90" s="1327"/>
      <c r="P90" s="1328"/>
      <c r="Q90" s="958" t="s">
        <v>203</v>
      </c>
      <c r="R90" s="205"/>
      <c r="S90" s="463"/>
      <c r="T90" s="978"/>
      <c r="U90" s="1612"/>
    </row>
    <row r="91" spans="1:21" ht="12.75" customHeight="1" x14ac:dyDescent="0.2">
      <c r="A91" s="916"/>
      <c r="B91" s="922"/>
      <c r="C91" s="953"/>
      <c r="D91" s="913"/>
      <c r="E91" s="87"/>
      <c r="F91" s="910"/>
      <c r="G91" s="1320" t="s">
        <v>24</v>
      </c>
      <c r="H91" s="1321"/>
      <c r="I91" s="1322"/>
      <c r="J91" s="1315"/>
      <c r="K91" s="1047"/>
      <c r="L91" s="1046"/>
      <c r="M91" s="1053"/>
      <c r="N91" s="1047"/>
      <c r="O91" s="1046">
        <v>-150</v>
      </c>
      <c r="P91" s="1053">
        <f>O91-N91</f>
        <v>-150</v>
      </c>
      <c r="Q91" s="940" t="s">
        <v>199</v>
      </c>
      <c r="R91" s="248"/>
      <c r="S91" s="464"/>
      <c r="T91" s="1319">
        <v>2</v>
      </c>
      <c r="U91" s="1609" t="s">
        <v>392</v>
      </c>
    </row>
    <row r="92" spans="1:21" ht="43.5" customHeight="1" x14ac:dyDescent="0.2">
      <c r="A92" s="916"/>
      <c r="B92" s="922"/>
      <c r="C92" s="953"/>
      <c r="D92" s="913"/>
      <c r="E92" s="87"/>
      <c r="F92" s="910"/>
      <c r="G92" s="1325"/>
      <c r="H92" s="1326"/>
      <c r="I92" s="1327"/>
      <c r="J92" s="1328"/>
      <c r="K92" s="1326"/>
      <c r="L92" s="1327"/>
      <c r="M92" s="1328"/>
      <c r="N92" s="1329"/>
      <c r="O92" s="1327"/>
      <c r="P92" s="1328"/>
      <c r="Q92" s="945" t="s">
        <v>334</v>
      </c>
      <c r="R92" s="139"/>
      <c r="S92" s="454"/>
      <c r="T92" s="976"/>
      <c r="U92" s="1610"/>
    </row>
    <row r="93" spans="1:21" ht="27.75" customHeight="1" x14ac:dyDescent="0.2">
      <c r="A93" s="916"/>
      <c r="B93" s="922"/>
      <c r="C93" s="953"/>
      <c r="D93" s="913"/>
      <c r="E93" s="87"/>
      <c r="F93" s="910"/>
      <c r="G93" s="24"/>
      <c r="H93" s="932"/>
      <c r="I93" s="946"/>
      <c r="J93" s="680"/>
      <c r="K93" s="102"/>
      <c r="L93" s="946"/>
      <c r="M93" s="680"/>
      <c r="N93" s="102"/>
      <c r="O93" s="946"/>
      <c r="P93" s="680"/>
      <c r="Q93" s="207" t="s">
        <v>317</v>
      </c>
      <c r="R93" s="396">
        <v>2</v>
      </c>
      <c r="S93" s="466"/>
      <c r="T93" s="979"/>
      <c r="U93" s="483"/>
    </row>
    <row r="94" spans="1:21" ht="27" customHeight="1" x14ac:dyDescent="0.2">
      <c r="A94" s="916"/>
      <c r="B94" s="922"/>
      <c r="C94" s="918"/>
      <c r="D94" s="1373" t="s">
        <v>114</v>
      </c>
      <c r="E94" s="923"/>
      <c r="F94" s="910"/>
      <c r="G94" s="686"/>
      <c r="H94" s="110"/>
      <c r="I94" s="145"/>
      <c r="J94" s="153"/>
      <c r="K94" s="127"/>
      <c r="L94" s="145"/>
      <c r="M94" s="153"/>
      <c r="N94" s="127"/>
      <c r="O94" s="145"/>
      <c r="P94" s="153"/>
      <c r="Q94" s="1444" t="s">
        <v>335</v>
      </c>
      <c r="R94" s="203">
        <v>1</v>
      </c>
      <c r="S94" s="546">
        <v>1</v>
      </c>
      <c r="T94" s="666">
        <v>1</v>
      </c>
      <c r="U94" s="483"/>
    </row>
    <row r="95" spans="1:21" ht="15" customHeight="1" x14ac:dyDescent="0.2">
      <c r="A95" s="916"/>
      <c r="B95" s="922"/>
      <c r="C95" s="953"/>
      <c r="D95" s="1398"/>
      <c r="E95" s="925"/>
      <c r="F95" s="910"/>
      <c r="G95" s="22"/>
      <c r="H95" s="613"/>
      <c r="I95" s="614"/>
      <c r="J95" s="152"/>
      <c r="K95" s="101"/>
      <c r="L95" s="614"/>
      <c r="M95" s="152"/>
      <c r="N95" s="101"/>
      <c r="O95" s="614"/>
      <c r="P95" s="152"/>
      <c r="Q95" s="1445"/>
      <c r="R95" s="77"/>
      <c r="S95" s="458"/>
      <c r="T95" s="137"/>
      <c r="U95" s="536"/>
    </row>
    <row r="96" spans="1:21" ht="12.95" customHeight="1" x14ac:dyDescent="0.2">
      <c r="A96" s="916"/>
      <c r="B96" s="922"/>
      <c r="C96" s="953"/>
      <c r="D96" s="1373" t="s">
        <v>86</v>
      </c>
      <c r="E96" s="1450" t="s">
        <v>65</v>
      </c>
      <c r="F96" s="910"/>
      <c r="G96" s="960"/>
      <c r="H96" s="439"/>
      <c r="I96" s="156"/>
      <c r="J96" s="154"/>
      <c r="K96" s="108"/>
      <c r="L96" s="156"/>
      <c r="M96" s="154"/>
      <c r="N96" s="108"/>
      <c r="O96" s="156"/>
      <c r="P96" s="154"/>
      <c r="Q96" s="954" t="s">
        <v>119</v>
      </c>
      <c r="R96" s="341">
        <v>22.5</v>
      </c>
      <c r="S96" s="790">
        <v>22.5</v>
      </c>
      <c r="T96" s="980">
        <v>22.5</v>
      </c>
      <c r="U96" s="988"/>
    </row>
    <row r="97" spans="1:22" ht="12.95" customHeight="1" x14ac:dyDescent="0.2">
      <c r="A97" s="916"/>
      <c r="B97" s="922"/>
      <c r="C97" s="953"/>
      <c r="D97" s="1387"/>
      <c r="E97" s="1451"/>
      <c r="F97" s="910"/>
      <c r="G97" s="960"/>
      <c r="H97" s="932"/>
      <c r="I97" s="946"/>
      <c r="J97" s="680"/>
      <c r="K97" s="102"/>
      <c r="L97" s="946"/>
      <c r="M97" s="680"/>
      <c r="N97" s="102"/>
      <c r="O97" s="946"/>
      <c r="P97" s="680"/>
      <c r="Q97" s="364" t="s">
        <v>120</v>
      </c>
      <c r="R97" s="365">
        <v>108</v>
      </c>
      <c r="S97" s="801">
        <v>108</v>
      </c>
      <c r="T97" s="981">
        <v>108</v>
      </c>
      <c r="U97" s="484"/>
    </row>
    <row r="98" spans="1:22" ht="12.95" customHeight="1" x14ac:dyDescent="0.2">
      <c r="A98" s="916"/>
      <c r="B98" s="917"/>
      <c r="C98" s="918"/>
      <c r="D98" s="1387"/>
      <c r="E98" s="1451"/>
      <c r="F98" s="910"/>
      <c r="G98" s="960"/>
      <c r="H98" s="932"/>
      <c r="I98" s="946"/>
      <c r="J98" s="680"/>
      <c r="K98" s="102"/>
      <c r="L98" s="946"/>
      <c r="M98" s="680"/>
      <c r="N98" s="102"/>
      <c r="O98" s="946"/>
      <c r="P98" s="680"/>
      <c r="Q98" s="389" t="s">
        <v>118</v>
      </c>
      <c r="R98" s="366">
        <v>5</v>
      </c>
      <c r="S98" s="468">
        <v>5</v>
      </c>
      <c r="T98" s="962">
        <v>5</v>
      </c>
      <c r="U98" s="491"/>
    </row>
    <row r="99" spans="1:22" ht="15" customHeight="1" x14ac:dyDescent="0.2">
      <c r="A99" s="916"/>
      <c r="B99" s="922"/>
      <c r="C99" s="953"/>
      <c r="D99" s="1387"/>
      <c r="E99" s="1451"/>
      <c r="F99" s="910"/>
      <c r="G99" s="960"/>
      <c r="H99" s="932"/>
      <c r="I99" s="946"/>
      <c r="J99" s="680"/>
      <c r="K99" s="102"/>
      <c r="L99" s="946"/>
      <c r="M99" s="680"/>
      <c r="N99" s="102"/>
      <c r="O99" s="946"/>
      <c r="P99" s="680"/>
      <c r="Q99" s="1456" t="s">
        <v>336</v>
      </c>
      <c r="R99" s="239">
        <v>1</v>
      </c>
      <c r="S99" s="324">
        <v>1</v>
      </c>
      <c r="T99" s="479">
        <v>1</v>
      </c>
      <c r="U99" s="326"/>
    </row>
    <row r="100" spans="1:22" ht="12.75" customHeight="1" x14ac:dyDescent="0.2">
      <c r="A100" s="916"/>
      <c r="B100" s="922"/>
      <c r="C100" s="953"/>
      <c r="D100" s="397"/>
      <c r="E100" s="1451"/>
      <c r="F100" s="910"/>
      <c r="G100" s="960"/>
      <c r="H100" s="102"/>
      <c r="I100" s="946"/>
      <c r="J100" s="680"/>
      <c r="K100" s="102"/>
      <c r="L100" s="946"/>
      <c r="M100" s="680"/>
      <c r="N100" s="102"/>
      <c r="O100" s="946"/>
      <c r="P100" s="680"/>
      <c r="Q100" s="1457"/>
      <c r="R100" s="804"/>
      <c r="S100" s="805"/>
      <c r="T100" s="349"/>
      <c r="U100" s="482"/>
    </row>
    <row r="101" spans="1:22" ht="63.75" customHeight="1" x14ac:dyDescent="0.2">
      <c r="A101" s="916"/>
      <c r="B101" s="922"/>
      <c r="C101" s="953"/>
      <c r="D101" s="1387"/>
      <c r="E101" s="431"/>
      <c r="F101" s="910"/>
      <c r="G101" s="960"/>
      <c r="H101" s="932"/>
      <c r="I101" s="946"/>
      <c r="J101" s="680"/>
      <c r="K101" s="932"/>
      <c r="L101" s="946"/>
      <c r="M101" s="680"/>
      <c r="N101" s="932"/>
      <c r="O101" s="946"/>
      <c r="P101" s="680"/>
      <c r="Q101" s="959" t="s">
        <v>337</v>
      </c>
      <c r="R101" s="81">
        <v>66</v>
      </c>
      <c r="S101" s="948">
        <v>64</v>
      </c>
      <c r="T101" s="135">
        <v>60</v>
      </c>
      <c r="U101" s="536"/>
    </row>
    <row r="102" spans="1:22" ht="26.25" customHeight="1" x14ac:dyDescent="0.2">
      <c r="A102" s="916"/>
      <c r="B102" s="917"/>
      <c r="C102" s="918"/>
      <c r="D102" s="1458"/>
      <c r="E102" s="640"/>
      <c r="F102" s="639"/>
      <c r="G102" s="960"/>
      <c r="H102" s="932"/>
      <c r="I102" s="946"/>
      <c r="J102" s="680"/>
      <c r="K102" s="102"/>
      <c r="L102" s="946"/>
      <c r="M102" s="680"/>
      <c r="N102" s="932"/>
      <c r="O102" s="946"/>
      <c r="P102" s="680"/>
      <c r="Q102" s="389" t="s">
        <v>254</v>
      </c>
      <c r="R102" s="366">
        <v>50</v>
      </c>
      <c r="S102" s="366">
        <v>100</v>
      </c>
      <c r="T102" s="982"/>
      <c r="U102" s="989"/>
    </row>
    <row r="103" spans="1:22" ht="41.25" customHeight="1" x14ac:dyDescent="0.2">
      <c r="A103" s="916"/>
      <c r="B103" s="922"/>
      <c r="C103" s="953"/>
      <c r="D103" s="913"/>
      <c r="E103" s="640"/>
      <c r="F103" s="639"/>
      <c r="G103" s="960"/>
      <c r="H103" s="932"/>
      <c r="I103" s="946"/>
      <c r="J103" s="680"/>
      <c r="K103" s="102"/>
      <c r="L103" s="946"/>
      <c r="M103" s="680"/>
      <c r="N103" s="102"/>
      <c r="O103" s="946"/>
      <c r="P103" s="680"/>
      <c r="Q103" s="794" t="s">
        <v>338</v>
      </c>
      <c r="R103" s="240"/>
      <c r="S103" s="240"/>
      <c r="T103" s="480">
        <v>100</v>
      </c>
      <c r="U103" s="329"/>
    </row>
    <row r="104" spans="1:22" ht="27.75" customHeight="1" x14ac:dyDescent="0.2">
      <c r="A104" s="916"/>
      <c r="B104" s="922"/>
      <c r="C104" s="953"/>
      <c r="D104" s="397"/>
      <c r="E104" s="792"/>
      <c r="F104" s="910"/>
      <c r="G104" s="960"/>
      <c r="H104" s="932"/>
      <c r="I104" s="946"/>
      <c r="J104" s="680"/>
      <c r="K104" s="102"/>
      <c r="L104" s="946"/>
      <c r="M104" s="680"/>
      <c r="N104" s="102"/>
      <c r="O104" s="946"/>
      <c r="P104" s="680"/>
      <c r="Q104" s="432" t="s">
        <v>315</v>
      </c>
      <c r="R104" s="284"/>
      <c r="S104" s="262"/>
      <c r="T104" s="901"/>
      <c r="U104" s="482"/>
    </row>
    <row r="105" spans="1:22" ht="14.1" customHeight="1" x14ac:dyDescent="0.2">
      <c r="A105" s="916"/>
      <c r="B105" s="922"/>
      <c r="C105" s="953"/>
      <c r="D105" s="1387"/>
      <c r="E105" s="640"/>
      <c r="F105" s="639"/>
      <c r="G105" s="960"/>
      <c r="H105" s="932"/>
      <c r="I105" s="946"/>
      <c r="J105" s="680"/>
      <c r="K105" s="102"/>
      <c r="L105" s="946"/>
      <c r="M105" s="680"/>
      <c r="N105" s="102"/>
      <c r="O105" s="946"/>
      <c r="P105" s="680"/>
      <c r="Q105" s="954" t="s">
        <v>119</v>
      </c>
      <c r="R105" s="343">
        <v>1</v>
      </c>
      <c r="S105" s="550">
        <v>1</v>
      </c>
      <c r="T105" s="983">
        <v>1</v>
      </c>
      <c r="U105" s="491"/>
    </row>
    <row r="106" spans="1:22" ht="14.1" customHeight="1" x14ac:dyDescent="0.2">
      <c r="A106" s="916"/>
      <c r="B106" s="922"/>
      <c r="C106" s="953"/>
      <c r="D106" s="1387"/>
      <c r="E106" s="640"/>
      <c r="F106" s="639"/>
      <c r="G106" s="960"/>
      <c r="H106" s="932"/>
      <c r="I106" s="946"/>
      <c r="J106" s="680"/>
      <c r="K106" s="102"/>
      <c r="L106" s="946"/>
      <c r="M106" s="680"/>
      <c r="N106" s="102"/>
      <c r="O106" s="946"/>
      <c r="P106" s="680"/>
      <c r="Q106" s="954" t="s">
        <v>313</v>
      </c>
      <c r="R106" s="343">
        <v>1</v>
      </c>
      <c r="S106" s="550"/>
      <c r="T106" s="983"/>
      <c r="U106" s="491"/>
    </row>
    <row r="107" spans="1:22" ht="14.1" customHeight="1" x14ac:dyDescent="0.2">
      <c r="A107" s="916"/>
      <c r="B107" s="922"/>
      <c r="C107" s="953"/>
      <c r="D107" s="1390"/>
      <c r="E107" s="806"/>
      <c r="F107" s="639"/>
      <c r="G107" s="960"/>
      <c r="H107" s="932"/>
      <c r="I107" s="946"/>
      <c r="J107" s="680"/>
      <c r="K107" s="102"/>
      <c r="L107" s="946"/>
      <c r="M107" s="680"/>
      <c r="N107" s="102"/>
      <c r="O107" s="946"/>
      <c r="P107" s="680"/>
      <c r="Q107" s="690" t="s">
        <v>314</v>
      </c>
      <c r="R107" s="382"/>
      <c r="S107" s="382">
        <v>1</v>
      </c>
      <c r="T107" s="963"/>
      <c r="U107" s="491"/>
      <c r="V107" s="241"/>
    </row>
    <row r="108" spans="1:22" ht="13.5" customHeight="1" x14ac:dyDescent="0.2">
      <c r="A108" s="1388"/>
      <c r="B108" s="1396"/>
      <c r="C108" s="1397"/>
      <c r="D108" s="1373" t="s">
        <v>229</v>
      </c>
      <c r="E108" s="1448"/>
      <c r="F108" s="1434"/>
      <c r="G108" s="686"/>
      <c r="H108" s="110"/>
      <c r="I108" s="145"/>
      <c r="J108" s="153"/>
      <c r="K108" s="127"/>
      <c r="L108" s="145"/>
      <c r="M108" s="153"/>
      <c r="N108" s="127"/>
      <c r="O108" s="145"/>
      <c r="P108" s="153"/>
      <c r="Q108" s="956" t="s">
        <v>139</v>
      </c>
      <c r="R108" s="81">
        <v>2</v>
      </c>
      <c r="S108" s="948">
        <v>2</v>
      </c>
      <c r="T108" s="135">
        <v>2</v>
      </c>
      <c r="U108" s="536"/>
    </row>
    <row r="109" spans="1:22" ht="14.25" customHeight="1" x14ac:dyDescent="0.2">
      <c r="A109" s="1388"/>
      <c r="B109" s="1396"/>
      <c r="C109" s="1397"/>
      <c r="D109" s="1387"/>
      <c r="E109" s="1448"/>
      <c r="F109" s="1434"/>
      <c r="G109" s="960"/>
      <c r="H109" s="932"/>
      <c r="I109" s="946"/>
      <c r="J109" s="680"/>
      <c r="K109" s="102"/>
      <c r="L109" s="946"/>
      <c r="M109" s="680"/>
      <c r="N109" s="102"/>
      <c r="O109" s="946"/>
      <c r="P109" s="680"/>
      <c r="Q109" s="956" t="s">
        <v>120</v>
      </c>
      <c r="R109" s="81">
        <v>5</v>
      </c>
      <c r="S109" s="948">
        <v>5</v>
      </c>
      <c r="T109" s="135">
        <v>5</v>
      </c>
      <c r="U109" s="536"/>
    </row>
    <row r="110" spans="1:22" ht="6" customHeight="1" x14ac:dyDescent="0.2">
      <c r="A110" s="1388"/>
      <c r="B110" s="1396"/>
      <c r="C110" s="1397"/>
      <c r="D110" s="1398"/>
      <c r="E110" s="1449"/>
      <c r="F110" s="1434"/>
      <c r="G110" s="283"/>
      <c r="H110" s="613"/>
      <c r="I110" s="614"/>
      <c r="J110" s="152"/>
      <c r="K110" s="101"/>
      <c r="L110" s="614"/>
      <c r="M110" s="152"/>
      <c r="N110" s="101"/>
      <c r="O110" s="614"/>
      <c r="P110" s="152"/>
      <c r="Q110" s="870"/>
      <c r="R110" s="77"/>
      <c r="S110" s="458"/>
      <c r="T110" s="137"/>
      <c r="U110" s="536"/>
    </row>
    <row r="111" spans="1:22" ht="12.75" customHeight="1" x14ac:dyDescent="0.2">
      <c r="A111" s="916"/>
      <c r="B111" s="922"/>
      <c r="C111" s="918"/>
      <c r="D111" s="1387" t="s">
        <v>62</v>
      </c>
      <c r="E111" s="924"/>
      <c r="F111" s="910"/>
      <c r="G111" s="960"/>
      <c r="H111" s="932"/>
      <c r="I111" s="946"/>
      <c r="J111" s="680"/>
      <c r="K111" s="102"/>
      <c r="L111" s="946"/>
      <c r="M111" s="680"/>
      <c r="N111" s="102"/>
      <c r="O111" s="946"/>
      <c r="P111" s="680"/>
      <c r="Q111" s="956" t="s">
        <v>119</v>
      </c>
      <c r="R111" s="34">
        <v>2</v>
      </c>
      <c r="S111" s="470">
        <v>2</v>
      </c>
      <c r="T111" s="136">
        <v>2</v>
      </c>
      <c r="U111" s="536"/>
    </row>
    <row r="112" spans="1:22" ht="12.75" customHeight="1" x14ac:dyDescent="0.2">
      <c r="A112" s="916"/>
      <c r="B112" s="922"/>
      <c r="C112" s="953"/>
      <c r="D112" s="1387"/>
      <c r="E112" s="924"/>
      <c r="F112" s="910"/>
      <c r="G112" s="22"/>
      <c r="H112" s="613"/>
      <c r="I112" s="614"/>
      <c r="J112" s="152"/>
      <c r="K112" s="101"/>
      <c r="L112" s="614"/>
      <c r="M112" s="152"/>
      <c r="N112" s="101"/>
      <c r="O112" s="614"/>
      <c r="P112" s="152"/>
      <c r="Q112" s="956"/>
      <c r="R112" s="81"/>
      <c r="S112" s="948"/>
      <c r="T112" s="135"/>
      <c r="U112" s="536"/>
    </row>
    <row r="113" spans="1:53" s="8" customFormat="1" ht="16.5" customHeight="1" thickBot="1" x14ac:dyDescent="0.25">
      <c r="A113" s="916"/>
      <c r="B113" s="917"/>
      <c r="C113" s="953"/>
      <c r="D113" s="786"/>
      <c r="E113" s="787"/>
      <c r="F113" s="624"/>
      <c r="G113" s="35" t="s">
        <v>6</v>
      </c>
      <c r="H113" s="177">
        <f t="shared" ref="H113:P113" si="4">SUM(H77:H112)</f>
        <v>969.6</v>
      </c>
      <c r="I113" s="424">
        <f>SUM(I77:I112)</f>
        <v>969.6</v>
      </c>
      <c r="J113" s="423">
        <f t="shared" si="4"/>
        <v>0</v>
      </c>
      <c r="K113" s="177">
        <f t="shared" si="4"/>
        <v>1171.0999999999999</v>
      </c>
      <c r="L113" s="424">
        <f t="shared" si="4"/>
        <v>1021.1</v>
      </c>
      <c r="M113" s="423">
        <f t="shared" si="4"/>
        <v>-150</v>
      </c>
      <c r="N113" s="177">
        <f t="shared" si="4"/>
        <v>991</v>
      </c>
      <c r="O113" s="424">
        <f t="shared" si="4"/>
        <v>991</v>
      </c>
      <c r="P113" s="423">
        <f t="shared" si="4"/>
        <v>0</v>
      </c>
      <c r="Q113" s="1024"/>
      <c r="R113" s="81"/>
      <c r="S113" s="948"/>
      <c r="T113" s="135"/>
      <c r="U113" s="536"/>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row>
    <row r="114" spans="1:53" s="8" customFormat="1" ht="18" customHeight="1" x14ac:dyDescent="0.2">
      <c r="A114" s="1468" t="s">
        <v>5</v>
      </c>
      <c r="B114" s="1469" t="s">
        <v>5</v>
      </c>
      <c r="C114" s="1470" t="s">
        <v>34</v>
      </c>
      <c r="D114" s="1452" t="s">
        <v>55</v>
      </c>
      <c r="E114" s="1472" t="s">
        <v>108</v>
      </c>
      <c r="F114" s="1474" t="s">
        <v>27</v>
      </c>
      <c r="G114" s="183" t="s">
        <v>24</v>
      </c>
      <c r="H114" s="161">
        <f>2165.1-8.4</f>
        <v>2156.6999999999998</v>
      </c>
      <c r="I114" s="161">
        <f>2165.1-8.4</f>
        <v>2156.6999999999998</v>
      </c>
      <c r="J114" s="1054"/>
      <c r="K114" s="129">
        <v>2361.8000000000002</v>
      </c>
      <c r="L114" s="161">
        <v>2361.8000000000002</v>
      </c>
      <c r="M114" s="128"/>
      <c r="N114" s="129">
        <v>2399.1999999999998</v>
      </c>
      <c r="O114" s="161">
        <v>2399.1999999999998</v>
      </c>
      <c r="P114" s="128"/>
      <c r="Q114" s="1461"/>
      <c r="R114" s="42"/>
      <c r="S114" s="1462"/>
      <c r="T114" s="1619"/>
      <c r="U114" s="1621"/>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row>
    <row r="115" spans="1:53" s="8" customFormat="1" ht="13.5" customHeight="1" x14ac:dyDescent="0.2">
      <c r="A115" s="1388"/>
      <c r="B115" s="1438"/>
      <c r="C115" s="1397"/>
      <c r="D115" s="1471"/>
      <c r="E115" s="1473"/>
      <c r="F115" s="1434"/>
      <c r="G115" s="283" t="s">
        <v>58</v>
      </c>
      <c r="H115" s="614">
        <v>205.6</v>
      </c>
      <c r="I115" s="614">
        <v>205.6</v>
      </c>
      <c r="J115" s="433"/>
      <c r="K115" s="613"/>
      <c r="L115" s="614"/>
      <c r="M115" s="101"/>
      <c r="N115" s="613"/>
      <c r="O115" s="614"/>
      <c r="P115" s="101"/>
      <c r="Q115" s="1372"/>
      <c r="R115" s="81"/>
      <c r="S115" s="1463"/>
      <c r="T115" s="1620"/>
      <c r="U115" s="160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row>
    <row r="116" spans="1:53" s="8" customFormat="1" ht="15.75" customHeight="1" x14ac:dyDescent="0.2">
      <c r="A116" s="1388"/>
      <c r="B116" s="1396"/>
      <c r="C116" s="1397"/>
      <c r="D116" s="1387" t="s">
        <v>99</v>
      </c>
      <c r="E116" s="1466" t="s">
        <v>67</v>
      </c>
      <c r="F116" s="1434"/>
      <c r="G116" s="686"/>
      <c r="H116" s="110"/>
      <c r="I116" s="145"/>
      <c r="J116" s="127"/>
      <c r="K116" s="110"/>
      <c r="L116" s="145"/>
      <c r="M116" s="127"/>
      <c r="N116" s="110"/>
      <c r="O116" s="145"/>
      <c r="P116" s="127"/>
      <c r="Q116" s="956" t="s">
        <v>70</v>
      </c>
      <c r="R116" s="144">
        <v>16.899999999999999</v>
      </c>
      <c r="S116" s="471">
        <v>17.5</v>
      </c>
      <c r="T116" s="984">
        <v>18.2</v>
      </c>
      <c r="U116" s="160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row>
    <row r="117" spans="1:53" s="8" customFormat="1" ht="15.75" customHeight="1" x14ac:dyDescent="0.2">
      <c r="A117" s="1388"/>
      <c r="B117" s="1396"/>
      <c r="C117" s="1397"/>
      <c r="D117" s="1398"/>
      <c r="E117" s="1467"/>
      <c r="F117" s="1434"/>
      <c r="G117" s="283"/>
      <c r="H117" s="613"/>
      <c r="I117" s="614"/>
      <c r="J117" s="152"/>
      <c r="K117" s="613"/>
      <c r="L117" s="614"/>
      <c r="M117" s="101"/>
      <c r="N117" s="613"/>
      <c r="O117" s="614"/>
      <c r="P117" s="101"/>
      <c r="Q117" s="225" t="s">
        <v>51</v>
      </c>
      <c r="R117" s="444">
        <v>9.4</v>
      </c>
      <c r="S117" s="444">
        <v>9.6999999999999993</v>
      </c>
      <c r="T117" s="444">
        <v>10.1</v>
      </c>
      <c r="U117" s="160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row>
    <row r="118" spans="1:53" s="8" customFormat="1" ht="15" customHeight="1" x14ac:dyDescent="0.2">
      <c r="A118" s="916"/>
      <c r="B118" s="922"/>
      <c r="C118" s="918"/>
      <c r="D118" s="1373" t="s">
        <v>165</v>
      </c>
      <c r="E118" s="923"/>
      <c r="F118" s="910"/>
      <c r="G118" s="1071"/>
      <c r="H118" s="932"/>
      <c r="I118" s="1046"/>
      <c r="J118" s="1053"/>
      <c r="K118" s="110"/>
      <c r="L118" s="145"/>
      <c r="M118" s="153"/>
      <c r="N118" s="110"/>
      <c r="O118" s="145"/>
      <c r="P118" s="153"/>
      <c r="Q118" s="957" t="s">
        <v>51</v>
      </c>
      <c r="R118" s="347">
        <v>0.4</v>
      </c>
      <c r="S118" s="347">
        <v>0.4</v>
      </c>
      <c r="T118" s="347">
        <v>0.4</v>
      </c>
      <c r="U118" s="160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row>
    <row r="119" spans="1:53" s="8" customFormat="1" ht="27" customHeight="1" x14ac:dyDescent="0.2">
      <c r="A119" s="916"/>
      <c r="B119" s="922"/>
      <c r="C119" s="918"/>
      <c r="D119" s="1387"/>
      <c r="E119" s="616"/>
      <c r="F119" s="910"/>
      <c r="G119" s="960"/>
      <c r="H119" s="932"/>
      <c r="I119" s="1046"/>
      <c r="J119" s="1053"/>
      <c r="K119" s="932"/>
      <c r="L119" s="946"/>
      <c r="M119" s="680"/>
      <c r="N119" s="932"/>
      <c r="O119" s="946"/>
      <c r="P119" s="680"/>
      <c r="Q119" s="44" t="s">
        <v>325</v>
      </c>
      <c r="R119" s="617">
        <v>1206</v>
      </c>
      <c r="S119" s="617">
        <v>1206</v>
      </c>
      <c r="T119" s="617">
        <v>1206</v>
      </c>
      <c r="U119" s="329"/>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row>
    <row r="120" spans="1:53" s="8" customFormat="1" ht="37.5" customHeight="1" x14ac:dyDescent="0.2">
      <c r="A120" s="916"/>
      <c r="B120" s="922"/>
      <c r="C120" s="918"/>
      <c r="D120" s="1387"/>
      <c r="E120" s="616"/>
      <c r="F120" s="910"/>
      <c r="G120" s="960"/>
      <c r="H120" s="932"/>
      <c r="I120" s="946"/>
      <c r="J120" s="680"/>
      <c r="K120" s="932"/>
      <c r="L120" s="946"/>
      <c r="M120" s="680"/>
      <c r="N120" s="932"/>
      <c r="O120" s="946"/>
      <c r="P120" s="680"/>
      <c r="Q120" s="44" t="s">
        <v>326</v>
      </c>
      <c r="R120" s="902">
        <v>22.2</v>
      </c>
      <c r="S120" s="903">
        <v>22.2</v>
      </c>
      <c r="T120" s="903">
        <v>22.2</v>
      </c>
      <c r="U120" s="482"/>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row>
    <row r="121" spans="1:53" s="8" customFormat="1" ht="26.25" customHeight="1" x14ac:dyDescent="0.2">
      <c r="A121" s="916"/>
      <c r="B121" s="922"/>
      <c r="C121" s="1064"/>
      <c r="D121" s="1483"/>
      <c r="E121" s="921"/>
      <c r="F121" s="910"/>
      <c r="G121" s="283"/>
      <c r="H121" s="613"/>
      <c r="I121" s="614"/>
      <c r="J121" s="152"/>
      <c r="K121" s="613"/>
      <c r="L121" s="614"/>
      <c r="M121" s="152"/>
      <c r="N121" s="613"/>
      <c r="O121" s="614"/>
      <c r="P121" s="152"/>
      <c r="Q121" s="618" t="s">
        <v>339</v>
      </c>
      <c r="R121" s="619">
        <v>3</v>
      </c>
      <c r="S121" s="77">
        <v>3</v>
      </c>
      <c r="T121" s="137">
        <v>3</v>
      </c>
      <c r="U121" s="536"/>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row>
    <row r="122" spans="1:53" s="8" customFormat="1" ht="13.5" customHeight="1" x14ac:dyDescent="0.2">
      <c r="A122" s="916"/>
      <c r="B122" s="922"/>
      <c r="C122" s="918"/>
      <c r="D122" s="1373" t="s">
        <v>299</v>
      </c>
      <c r="E122" s="919"/>
      <c r="F122" s="910"/>
      <c r="G122" s="1071" t="s">
        <v>24</v>
      </c>
      <c r="H122" s="932"/>
      <c r="I122" s="1046">
        <v>-28</v>
      </c>
      <c r="J122" s="1053">
        <f>I122-H122</f>
        <v>-28</v>
      </c>
      <c r="K122" s="110"/>
      <c r="L122" s="145"/>
      <c r="M122" s="153"/>
      <c r="N122" s="110"/>
      <c r="O122" s="145"/>
      <c r="P122" s="153"/>
      <c r="Q122" s="944"/>
      <c r="R122" s="579"/>
      <c r="S122" s="136"/>
      <c r="T122" s="136"/>
      <c r="U122" s="1605" t="s">
        <v>385</v>
      </c>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row>
    <row r="123" spans="1:53" s="8" customFormat="1" ht="12.75" customHeight="1" x14ac:dyDescent="0.2">
      <c r="A123" s="916"/>
      <c r="B123" s="922"/>
      <c r="C123" s="866"/>
      <c r="D123" s="1638"/>
      <c r="E123" s="867"/>
      <c r="F123" s="953"/>
      <c r="G123" s="960"/>
      <c r="H123" s="932"/>
      <c r="I123" s="946"/>
      <c r="J123" s="680"/>
      <c r="K123" s="932"/>
      <c r="L123" s="946"/>
      <c r="M123" s="680"/>
      <c r="N123" s="932"/>
      <c r="O123" s="946"/>
      <c r="P123" s="680"/>
      <c r="Q123" s="958"/>
      <c r="R123" s="868"/>
      <c r="S123" s="535"/>
      <c r="T123" s="535"/>
      <c r="U123" s="161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row>
    <row r="124" spans="1:53" s="8" customFormat="1" ht="13.5" customHeight="1" x14ac:dyDescent="0.2">
      <c r="A124" s="916"/>
      <c r="B124" s="922"/>
      <c r="C124" s="1485" t="s">
        <v>265</v>
      </c>
      <c r="D124" s="665" t="s">
        <v>340</v>
      </c>
      <c r="E124" s="914"/>
      <c r="F124" s="953"/>
      <c r="G124" s="960"/>
      <c r="H124" s="932"/>
      <c r="I124" s="946"/>
      <c r="J124" s="680"/>
      <c r="K124" s="932"/>
      <c r="L124" s="946"/>
      <c r="M124" s="102"/>
      <c r="N124" s="932"/>
      <c r="O124" s="946"/>
      <c r="P124" s="680"/>
      <c r="Q124" s="1196" t="s">
        <v>278</v>
      </c>
      <c r="R124" s="1067">
        <v>9</v>
      </c>
      <c r="S124" s="573"/>
      <c r="T124" s="627"/>
      <c r="U124" s="161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row>
    <row r="125" spans="1:53" s="8" customFormat="1" ht="27" customHeight="1" x14ac:dyDescent="0.2">
      <c r="A125" s="916"/>
      <c r="B125" s="922"/>
      <c r="C125" s="1486"/>
      <c r="D125" s="665" t="s">
        <v>261</v>
      </c>
      <c r="E125" s="914"/>
      <c r="F125" s="953"/>
      <c r="G125" s="960"/>
      <c r="H125" s="932"/>
      <c r="I125" s="1046"/>
      <c r="J125" s="1053"/>
      <c r="K125" s="932"/>
      <c r="L125" s="946"/>
      <c r="M125" s="102"/>
      <c r="N125" s="932"/>
      <c r="O125" s="946"/>
      <c r="P125" s="102"/>
      <c r="Q125" s="1201" t="s">
        <v>264</v>
      </c>
      <c r="R125" s="417">
        <v>100</v>
      </c>
      <c r="S125" s="135"/>
      <c r="T125" s="81"/>
      <c r="U125" s="161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row>
    <row r="126" spans="1:53" s="8" customFormat="1" ht="13.5" customHeight="1" x14ac:dyDescent="0.2">
      <c r="A126" s="916"/>
      <c r="B126" s="922"/>
      <c r="C126" s="1486"/>
      <c r="D126" s="665" t="s">
        <v>277</v>
      </c>
      <c r="E126" s="914"/>
      <c r="F126" s="953"/>
      <c r="G126" s="960"/>
      <c r="H126" s="932"/>
      <c r="I126" s="946"/>
      <c r="J126" s="680"/>
      <c r="K126" s="932"/>
      <c r="L126" s="946"/>
      <c r="M126" s="102"/>
      <c r="N126" s="932"/>
      <c r="O126" s="946"/>
      <c r="P126" s="102"/>
      <c r="Q126" s="1201"/>
      <c r="R126" s="417"/>
      <c r="S126" s="417"/>
      <c r="T126" s="81"/>
      <c r="U126" s="161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row>
    <row r="127" spans="1:53" s="8" customFormat="1" ht="39" customHeight="1" x14ac:dyDescent="0.2">
      <c r="A127" s="916"/>
      <c r="B127" s="922"/>
      <c r="C127" s="1487"/>
      <c r="D127" s="679" t="s">
        <v>341</v>
      </c>
      <c r="E127" s="867"/>
      <c r="F127" s="869"/>
      <c r="G127" s="425"/>
      <c r="H127" s="147"/>
      <c r="I127" s="602"/>
      <c r="J127" s="674"/>
      <c r="K127" s="147"/>
      <c r="L127" s="602"/>
      <c r="M127" s="601"/>
      <c r="N127" s="147"/>
      <c r="O127" s="602"/>
      <c r="P127" s="674"/>
      <c r="Q127" s="701"/>
      <c r="R127" s="868"/>
      <c r="S127" s="535"/>
      <c r="T127" s="700"/>
      <c r="U127" s="161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row>
    <row r="128" spans="1:53" s="8" customFormat="1" ht="15" customHeight="1" x14ac:dyDescent="0.2">
      <c r="A128" s="916"/>
      <c r="B128" s="922"/>
      <c r="C128" s="1486" t="s">
        <v>284</v>
      </c>
      <c r="D128" s="679" t="s">
        <v>259</v>
      </c>
      <c r="E128" s="914"/>
      <c r="F128" s="953"/>
      <c r="G128" s="960"/>
      <c r="H128" s="932"/>
      <c r="I128" s="946"/>
      <c r="J128" s="680"/>
      <c r="K128" s="932"/>
      <c r="L128" s="946"/>
      <c r="M128" s="102"/>
      <c r="N128" s="932"/>
      <c r="O128" s="946"/>
      <c r="P128" s="102"/>
      <c r="Q128" s="945" t="s">
        <v>278</v>
      </c>
      <c r="R128" s="417"/>
      <c r="S128" s="417">
        <v>2</v>
      </c>
      <c r="T128" s="135"/>
      <c r="U128" s="160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row>
    <row r="129" spans="1:53" s="8" customFormat="1" ht="18" customHeight="1" x14ac:dyDescent="0.2">
      <c r="A129" s="916"/>
      <c r="B129" s="922"/>
      <c r="C129" s="1486"/>
      <c r="D129" s="665" t="s">
        <v>262</v>
      </c>
      <c r="E129" s="914"/>
      <c r="F129" s="953"/>
      <c r="G129" s="960"/>
      <c r="H129" s="932"/>
      <c r="I129" s="946"/>
      <c r="J129" s="680"/>
      <c r="K129" s="932"/>
      <c r="L129" s="946"/>
      <c r="M129" s="102"/>
      <c r="N129" s="932"/>
      <c r="O129" s="946"/>
      <c r="P129" s="102"/>
      <c r="Q129" s="945" t="s">
        <v>264</v>
      </c>
      <c r="R129" s="417"/>
      <c r="S129" s="417">
        <v>50</v>
      </c>
      <c r="T129" s="417">
        <v>100</v>
      </c>
      <c r="U129" s="1611"/>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row>
    <row r="130" spans="1:53" s="8" customFormat="1" ht="29.25" customHeight="1" x14ac:dyDescent="0.2">
      <c r="A130" s="916"/>
      <c r="B130" s="922"/>
      <c r="C130" s="1486"/>
      <c r="D130" s="665" t="s">
        <v>344</v>
      </c>
      <c r="E130" s="914"/>
      <c r="F130" s="953"/>
      <c r="G130" s="960"/>
      <c r="H130" s="932"/>
      <c r="I130" s="946"/>
      <c r="J130" s="680"/>
      <c r="K130" s="932"/>
      <c r="L130" s="946"/>
      <c r="M130" s="102"/>
      <c r="N130" s="932"/>
      <c r="O130" s="946"/>
      <c r="P130" s="102"/>
      <c r="Q130" s="945"/>
      <c r="R130" s="417"/>
      <c r="S130" s="417"/>
      <c r="T130" s="135"/>
      <c r="U130" s="1611"/>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row>
    <row r="131" spans="1:53" s="8" customFormat="1" ht="15" customHeight="1" x14ac:dyDescent="0.2">
      <c r="A131" s="916"/>
      <c r="B131" s="922"/>
      <c r="C131" s="1486"/>
      <c r="D131" s="679" t="s">
        <v>361</v>
      </c>
      <c r="E131" s="914"/>
      <c r="F131" s="953"/>
      <c r="G131" s="1093"/>
      <c r="H131" s="932"/>
      <c r="I131" s="946"/>
      <c r="J131" s="680"/>
      <c r="K131" s="932"/>
      <c r="L131" s="946"/>
      <c r="M131" s="102"/>
      <c r="N131" s="932"/>
      <c r="O131" s="946"/>
      <c r="P131" s="680"/>
      <c r="Q131" s="945"/>
      <c r="R131" s="417"/>
      <c r="S131" s="81"/>
      <c r="T131" s="135"/>
      <c r="U131" s="1166"/>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row>
    <row r="132" spans="1:53" s="8" customFormat="1" ht="26.25" customHeight="1" x14ac:dyDescent="0.2">
      <c r="A132" s="1088"/>
      <c r="B132" s="1089"/>
      <c r="C132" s="1105"/>
      <c r="D132" s="665" t="s">
        <v>362</v>
      </c>
      <c r="E132" s="1090"/>
      <c r="F132" s="69"/>
      <c r="G132" s="420"/>
      <c r="H132" s="932"/>
      <c r="I132" s="946"/>
      <c r="J132" s="680"/>
      <c r="K132" s="932"/>
      <c r="L132" s="946"/>
      <c r="M132" s="102"/>
      <c r="N132" s="932"/>
      <c r="O132" s="946"/>
      <c r="P132" s="680"/>
      <c r="Q132" s="1092"/>
      <c r="R132" s="417"/>
      <c r="S132" s="81"/>
      <c r="T132" s="135"/>
      <c r="U132" s="1166"/>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row>
    <row r="133" spans="1:53" s="8" customFormat="1" ht="12" customHeight="1" x14ac:dyDescent="0.2">
      <c r="A133" s="1088"/>
      <c r="B133" s="1089"/>
      <c r="C133" s="1105"/>
      <c r="D133" s="1179" t="s">
        <v>360</v>
      </c>
      <c r="E133" s="1090"/>
      <c r="F133" s="69"/>
      <c r="G133" s="419"/>
      <c r="H133" s="613"/>
      <c r="I133" s="614"/>
      <c r="J133" s="152"/>
      <c r="K133" s="613"/>
      <c r="L133" s="614"/>
      <c r="M133" s="101"/>
      <c r="N133" s="613"/>
      <c r="O133" s="614"/>
      <c r="P133" s="152"/>
      <c r="Q133" s="1092"/>
      <c r="R133" s="417"/>
      <c r="S133" s="81"/>
      <c r="T133" s="135"/>
      <c r="U133" s="536"/>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row>
    <row r="134" spans="1:53" s="8" customFormat="1" ht="16.5" customHeight="1" thickBot="1" x14ac:dyDescent="0.25">
      <c r="A134" s="916"/>
      <c r="B134" s="917"/>
      <c r="C134" s="953"/>
      <c r="D134" s="786"/>
      <c r="E134" s="787"/>
      <c r="F134" s="624"/>
      <c r="G134" s="35" t="s">
        <v>6</v>
      </c>
      <c r="H134" s="177">
        <f t="shared" ref="H134:P134" si="5">SUM(H114:H131)</f>
        <v>2362.3000000000002</v>
      </c>
      <c r="I134" s="424">
        <f>SUM(I114:I131)</f>
        <v>2334.3000000000002</v>
      </c>
      <c r="J134" s="423">
        <f t="shared" si="5"/>
        <v>-28</v>
      </c>
      <c r="K134" s="177">
        <f t="shared" si="5"/>
        <v>2361.8000000000002</v>
      </c>
      <c r="L134" s="424">
        <f t="shared" si="5"/>
        <v>2361.8000000000002</v>
      </c>
      <c r="M134" s="423">
        <f t="shared" si="5"/>
        <v>0</v>
      </c>
      <c r="N134" s="177">
        <f t="shared" si="5"/>
        <v>2399.1999999999998</v>
      </c>
      <c r="O134" s="424">
        <f t="shared" si="5"/>
        <v>2399.1999999999998</v>
      </c>
      <c r="P134" s="423">
        <f t="shared" si="5"/>
        <v>0</v>
      </c>
      <c r="Q134" s="226"/>
      <c r="R134" s="410"/>
      <c r="S134" s="41"/>
      <c r="T134" s="410"/>
      <c r="U134" s="536"/>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row>
    <row r="135" spans="1:53" s="8" customFormat="1" ht="15" customHeight="1" x14ac:dyDescent="0.2">
      <c r="A135" s="1468" t="s">
        <v>5</v>
      </c>
      <c r="B135" s="1469" t="s">
        <v>5</v>
      </c>
      <c r="C135" s="1470" t="s">
        <v>35</v>
      </c>
      <c r="D135" s="1478" t="s">
        <v>345</v>
      </c>
      <c r="E135" s="1480"/>
      <c r="F135" s="1488" t="s">
        <v>50</v>
      </c>
      <c r="G135" s="422" t="s">
        <v>24</v>
      </c>
      <c r="H135" s="129">
        <v>149.30000000000001</v>
      </c>
      <c r="I135" s="161">
        <f>152.3-3-11.3</f>
        <v>138</v>
      </c>
      <c r="J135" s="1054">
        <f>I135-H135</f>
        <v>-11.3</v>
      </c>
      <c r="K135" s="129">
        <v>152.30000000000001</v>
      </c>
      <c r="L135" s="161">
        <v>152.30000000000001</v>
      </c>
      <c r="M135" s="128"/>
      <c r="N135" s="129">
        <v>152.30000000000001</v>
      </c>
      <c r="O135" s="161">
        <v>152.30000000000001</v>
      </c>
      <c r="P135" s="128"/>
      <c r="Q135" s="1188" t="s">
        <v>121</v>
      </c>
      <c r="R135" s="42">
        <v>151</v>
      </c>
      <c r="S135" s="42">
        <v>151</v>
      </c>
      <c r="T135" s="1113">
        <v>151</v>
      </c>
      <c r="U135" s="1621" t="s">
        <v>386</v>
      </c>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row>
    <row r="136" spans="1:53" s="8" customFormat="1" ht="107.25" customHeight="1" x14ac:dyDescent="0.2">
      <c r="A136" s="1388"/>
      <c r="B136" s="1438"/>
      <c r="C136" s="1397"/>
      <c r="D136" s="1387"/>
      <c r="E136" s="1481"/>
      <c r="F136" s="1489"/>
      <c r="G136" s="419" t="s">
        <v>58</v>
      </c>
      <c r="H136" s="613">
        <v>135.19999999999999</v>
      </c>
      <c r="I136" s="614">
        <v>135.19999999999999</v>
      </c>
      <c r="J136" s="152"/>
      <c r="K136" s="613"/>
      <c r="L136" s="614"/>
      <c r="M136" s="152"/>
      <c r="N136" s="613"/>
      <c r="O136" s="614"/>
      <c r="P136" s="152"/>
      <c r="Q136" s="895" t="s">
        <v>363</v>
      </c>
      <c r="R136" s="1199">
        <v>1</v>
      </c>
      <c r="S136" s="1070"/>
      <c r="T136" s="1114"/>
      <c r="U136" s="1604"/>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row>
    <row r="137" spans="1:53" s="8" customFormat="1" ht="18.75" customHeight="1" thickBot="1" x14ac:dyDescent="0.25">
      <c r="A137" s="1475"/>
      <c r="B137" s="1476"/>
      <c r="C137" s="1477"/>
      <c r="D137" s="1479"/>
      <c r="E137" s="1482"/>
      <c r="F137" s="1490"/>
      <c r="G137" s="35" t="s">
        <v>6</v>
      </c>
      <c r="H137" s="177">
        <f t="shared" ref="H137:I137" si="6">SUM(H135:H136)</f>
        <v>284.5</v>
      </c>
      <c r="I137" s="424">
        <f t="shared" si="6"/>
        <v>273.2</v>
      </c>
      <c r="J137" s="423">
        <f t="shared" ref="J137:M137" si="7">SUM(J135:J136)</f>
        <v>-11.3</v>
      </c>
      <c r="K137" s="177">
        <f t="shared" ref="K137:L137" si="8">SUM(K135:K136)</f>
        <v>152.30000000000001</v>
      </c>
      <c r="L137" s="424">
        <f t="shared" si="8"/>
        <v>152.30000000000001</v>
      </c>
      <c r="M137" s="423">
        <f t="shared" si="7"/>
        <v>0</v>
      </c>
      <c r="N137" s="177">
        <f t="shared" ref="N137:P137" si="9">SUM(N135:N135)</f>
        <v>152.30000000000001</v>
      </c>
      <c r="O137" s="424">
        <f t="shared" ref="O137" si="10">SUM(O135:O135)</f>
        <v>152.30000000000001</v>
      </c>
      <c r="P137" s="371">
        <f t="shared" si="9"/>
        <v>0</v>
      </c>
      <c r="Q137" s="226"/>
      <c r="R137" s="41"/>
      <c r="S137" s="460"/>
      <c r="T137" s="410"/>
      <c r="U137" s="1622"/>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row>
    <row r="138" spans="1:53" s="8" customFormat="1" ht="15.75" customHeight="1" x14ac:dyDescent="0.2">
      <c r="A138" s="1468" t="s">
        <v>5</v>
      </c>
      <c r="B138" s="1469" t="s">
        <v>5</v>
      </c>
      <c r="C138" s="1470" t="s">
        <v>28</v>
      </c>
      <c r="D138" s="1478" t="s">
        <v>343</v>
      </c>
      <c r="E138" s="1480"/>
      <c r="F138" s="1488" t="s">
        <v>50</v>
      </c>
      <c r="G138" s="422" t="s">
        <v>24</v>
      </c>
      <c r="H138" s="129">
        <v>16.8</v>
      </c>
      <c r="I138" s="161">
        <v>16.8</v>
      </c>
      <c r="J138" s="188"/>
      <c r="K138" s="129">
        <v>16.8</v>
      </c>
      <c r="L138" s="161">
        <v>16.8</v>
      </c>
      <c r="M138" s="188"/>
      <c r="N138" s="129">
        <v>16.8</v>
      </c>
      <c r="O138" s="161">
        <v>16.8</v>
      </c>
      <c r="P138" s="188"/>
      <c r="Q138" s="1461" t="s">
        <v>342</v>
      </c>
      <c r="R138" s="42">
        <v>2</v>
      </c>
      <c r="S138" s="948">
        <v>2</v>
      </c>
      <c r="T138" s="135">
        <v>2</v>
      </c>
      <c r="U138" s="536"/>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row>
    <row r="139" spans="1:53" s="8" customFormat="1" ht="13.5" customHeight="1" x14ac:dyDescent="0.2">
      <c r="A139" s="1388"/>
      <c r="B139" s="1438"/>
      <c r="C139" s="1397"/>
      <c r="D139" s="1387"/>
      <c r="E139" s="1481"/>
      <c r="F139" s="1489"/>
      <c r="G139" s="419"/>
      <c r="H139" s="613"/>
      <c r="I139" s="614"/>
      <c r="J139" s="152"/>
      <c r="K139" s="429"/>
      <c r="L139" s="486"/>
      <c r="M139" s="433"/>
      <c r="N139" s="429"/>
      <c r="O139" s="486"/>
      <c r="P139" s="433"/>
      <c r="Q139" s="1496"/>
      <c r="R139" s="81"/>
      <c r="S139" s="948"/>
      <c r="T139" s="135"/>
      <c r="U139" s="536"/>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row>
    <row r="140" spans="1:53" s="8" customFormat="1" ht="16.5" customHeight="1" thickBot="1" x14ac:dyDescent="0.25">
      <c r="A140" s="1475"/>
      <c r="B140" s="1476"/>
      <c r="C140" s="1477"/>
      <c r="D140" s="1479"/>
      <c r="E140" s="1482"/>
      <c r="F140" s="1490"/>
      <c r="G140" s="35" t="s">
        <v>6</v>
      </c>
      <c r="H140" s="177">
        <f t="shared" ref="H140:P140" si="11">SUM(H138:H139)</f>
        <v>16.8</v>
      </c>
      <c r="I140" s="424">
        <f t="shared" si="11"/>
        <v>16.8</v>
      </c>
      <c r="J140" s="423">
        <f t="shared" si="11"/>
        <v>0</v>
      </c>
      <c r="K140" s="177">
        <f t="shared" si="11"/>
        <v>16.8</v>
      </c>
      <c r="L140" s="424">
        <f t="shared" si="11"/>
        <v>16.8</v>
      </c>
      <c r="M140" s="371">
        <f t="shared" si="11"/>
        <v>0</v>
      </c>
      <c r="N140" s="177">
        <f t="shared" si="11"/>
        <v>16.8</v>
      </c>
      <c r="O140" s="424">
        <f t="shared" si="11"/>
        <v>16.8</v>
      </c>
      <c r="P140" s="371">
        <f t="shared" si="11"/>
        <v>0</v>
      </c>
      <c r="Q140" s="1086"/>
      <c r="R140" s="81"/>
      <c r="S140" s="948"/>
      <c r="T140" s="135"/>
      <c r="U140" s="536"/>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row>
    <row r="141" spans="1:53" s="8" customFormat="1" ht="14.1" customHeight="1" x14ac:dyDescent="0.2">
      <c r="A141" s="927" t="s">
        <v>5</v>
      </c>
      <c r="B141" s="929" t="s">
        <v>5</v>
      </c>
      <c r="C141" s="930" t="s">
        <v>36</v>
      </c>
      <c r="D141" s="1367" t="s">
        <v>144</v>
      </c>
      <c r="E141" s="227" t="s">
        <v>47</v>
      </c>
      <c r="F141" s="947" t="s">
        <v>46</v>
      </c>
      <c r="G141" s="686" t="s">
        <v>24</v>
      </c>
      <c r="H141" s="129">
        <v>145.1</v>
      </c>
      <c r="I141" s="161">
        <v>145.1</v>
      </c>
      <c r="J141" s="1206"/>
      <c r="K141" s="129">
        <v>2426.4</v>
      </c>
      <c r="L141" s="161">
        <v>2426.4</v>
      </c>
      <c r="M141" s="1206"/>
      <c r="N141" s="129">
        <v>3076.3</v>
      </c>
      <c r="O141" s="161">
        <v>3076.3</v>
      </c>
      <c r="P141" s="1206"/>
      <c r="Q141" s="1497"/>
      <c r="R141" s="122"/>
      <c r="S141" s="472"/>
      <c r="T141" s="472"/>
      <c r="U141" s="195"/>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row>
    <row r="142" spans="1:53" s="8" customFormat="1" ht="14.1" customHeight="1" x14ac:dyDescent="0.2">
      <c r="A142" s="916"/>
      <c r="B142" s="922"/>
      <c r="C142" s="918"/>
      <c r="D142" s="1459"/>
      <c r="E142" s="261"/>
      <c r="F142" s="910"/>
      <c r="G142" s="960" t="s">
        <v>58</v>
      </c>
      <c r="H142" s="932">
        <v>753.9</v>
      </c>
      <c r="I142" s="946">
        <v>753.9</v>
      </c>
      <c r="J142" s="98"/>
      <c r="K142" s="932"/>
      <c r="L142" s="946"/>
      <c r="M142" s="98"/>
      <c r="N142" s="932"/>
      <c r="O142" s="946"/>
      <c r="P142" s="98"/>
      <c r="Q142" s="1498"/>
      <c r="R142" s="123"/>
      <c r="S142" s="294"/>
      <c r="T142" s="294"/>
      <c r="U142" s="196"/>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row>
    <row r="143" spans="1:53" s="8" customFormat="1" ht="14.1" customHeight="1" x14ac:dyDescent="0.2">
      <c r="A143" s="916"/>
      <c r="B143" s="922"/>
      <c r="C143" s="918"/>
      <c r="D143" s="1459"/>
      <c r="E143" s="261"/>
      <c r="F143" s="910"/>
      <c r="G143" s="960" t="s">
        <v>285</v>
      </c>
      <c r="H143" s="932">
        <v>142.1</v>
      </c>
      <c r="I143" s="946">
        <v>142.1</v>
      </c>
      <c r="J143" s="98"/>
      <c r="K143" s="932">
        <v>368</v>
      </c>
      <c r="L143" s="946">
        <v>368</v>
      </c>
      <c r="M143" s="98"/>
      <c r="N143" s="932">
        <v>245.8</v>
      </c>
      <c r="O143" s="946">
        <v>245.8</v>
      </c>
      <c r="P143" s="98"/>
      <c r="Q143" s="1498"/>
      <c r="R143" s="123"/>
      <c r="S143" s="294"/>
      <c r="T143" s="294"/>
      <c r="U143" s="196"/>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row>
    <row r="144" spans="1:53" s="8" customFormat="1" ht="14.1" customHeight="1" x14ac:dyDescent="0.2">
      <c r="A144" s="916"/>
      <c r="B144" s="922"/>
      <c r="C144" s="918"/>
      <c r="D144" s="1459"/>
      <c r="E144" s="261"/>
      <c r="F144" s="910"/>
      <c r="G144" s="960" t="s">
        <v>286</v>
      </c>
      <c r="H144" s="932">
        <v>1611.5</v>
      </c>
      <c r="I144" s="946">
        <v>1611.5</v>
      </c>
      <c r="J144" s="98"/>
      <c r="K144" s="932">
        <v>4169.2</v>
      </c>
      <c r="L144" s="946">
        <v>4169.2</v>
      </c>
      <c r="M144" s="98"/>
      <c r="N144" s="932">
        <v>2784.9</v>
      </c>
      <c r="O144" s="946">
        <v>2784.9</v>
      </c>
      <c r="P144" s="98"/>
      <c r="Q144" s="1498"/>
      <c r="R144" s="123"/>
      <c r="S144" s="294"/>
      <c r="T144" s="294"/>
      <c r="U144" s="196"/>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row>
    <row r="145" spans="1:53" s="8" customFormat="1" ht="14.1" customHeight="1" x14ac:dyDescent="0.2">
      <c r="A145" s="916"/>
      <c r="B145" s="922"/>
      <c r="C145" s="918"/>
      <c r="D145" s="1459"/>
      <c r="E145" s="261"/>
      <c r="F145" s="910"/>
      <c r="G145" s="960" t="s">
        <v>48</v>
      </c>
      <c r="H145" s="932">
        <v>737.4</v>
      </c>
      <c r="I145" s="946">
        <v>737.4</v>
      </c>
      <c r="J145" s="98"/>
      <c r="K145" s="932">
        <v>2382.8000000000002</v>
      </c>
      <c r="L145" s="946">
        <v>2382.8000000000002</v>
      </c>
      <c r="M145" s="98"/>
      <c r="N145" s="932">
        <v>4897.1000000000004</v>
      </c>
      <c r="O145" s="946">
        <v>4897.1000000000004</v>
      </c>
      <c r="P145" s="98"/>
      <c r="Q145" s="1498"/>
      <c r="R145" s="123"/>
      <c r="S145" s="294"/>
      <c r="T145" s="294"/>
      <c r="U145" s="196"/>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row>
    <row r="146" spans="1:53" s="8" customFormat="1" ht="19.5" customHeight="1" x14ac:dyDescent="0.2">
      <c r="A146" s="916"/>
      <c r="B146" s="922"/>
      <c r="C146" s="918"/>
      <c r="D146" s="1459"/>
      <c r="E146" s="924"/>
      <c r="F146" s="910"/>
      <c r="G146" s="960" t="s">
        <v>188</v>
      </c>
      <c r="H146" s="932">
        <v>65.099999999999994</v>
      </c>
      <c r="I146" s="946">
        <v>65.099999999999994</v>
      </c>
      <c r="J146" s="98"/>
      <c r="K146" s="932">
        <v>210.3</v>
      </c>
      <c r="L146" s="946">
        <v>210.3</v>
      </c>
      <c r="M146" s="98"/>
      <c r="N146" s="932">
        <v>432.1</v>
      </c>
      <c r="O146" s="946">
        <v>432.1</v>
      </c>
      <c r="P146" s="98"/>
      <c r="Q146" s="1498"/>
      <c r="R146" s="123"/>
      <c r="S146" s="294"/>
      <c r="T146" s="294"/>
      <c r="U146" s="196"/>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row>
    <row r="147" spans="1:53" s="8" customFormat="1" ht="11.25" customHeight="1" x14ac:dyDescent="0.2">
      <c r="A147" s="1180"/>
      <c r="B147" s="1185"/>
      <c r="C147" s="1182"/>
      <c r="D147" s="1187"/>
      <c r="E147" s="1186"/>
      <c r="F147" s="1184"/>
      <c r="G147" s="1202" t="s">
        <v>49</v>
      </c>
      <c r="H147" s="613"/>
      <c r="I147" s="614"/>
      <c r="J147" s="101"/>
      <c r="K147" s="932">
        <v>937.3</v>
      </c>
      <c r="L147" s="946">
        <v>937.3</v>
      </c>
      <c r="M147" s="101"/>
      <c r="N147" s="932">
        <v>937.3</v>
      </c>
      <c r="O147" s="946">
        <v>937.3</v>
      </c>
      <c r="P147" s="152"/>
      <c r="Q147" s="1190"/>
      <c r="R147" s="123"/>
      <c r="S147" s="294"/>
      <c r="T147" s="294"/>
      <c r="U147" s="196"/>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row>
    <row r="148" spans="1:53" s="8" customFormat="1" ht="16.5" customHeight="1" x14ac:dyDescent="0.2">
      <c r="A148" s="916"/>
      <c r="B148" s="922"/>
      <c r="C148" s="918"/>
      <c r="D148" s="1373" t="s">
        <v>159</v>
      </c>
      <c r="E148" s="1491" t="s">
        <v>95</v>
      </c>
      <c r="F148" s="1434"/>
      <c r="G148" s="686"/>
      <c r="H148" s="110"/>
      <c r="I148" s="145"/>
      <c r="J148" s="127"/>
      <c r="K148" s="110"/>
      <c r="L148" s="1094"/>
      <c r="M148" s="1095"/>
      <c r="N148" s="110"/>
      <c r="O148" s="1094"/>
      <c r="P148" s="1095"/>
      <c r="Q148" s="1082" t="s">
        <v>94</v>
      </c>
      <c r="R148" s="34">
        <v>1</v>
      </c>
      <c r="S148" s="136"/>
      <c r="T148" s="136"/>
      <c r="U148" s="160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row>
    <row r="149" spans="1:53" s="8" customFormat="1" ht="18" customHeight="1" x14ac:dyDescent="0.2">
      <c r="A149" s="916"/>
      <c r="B149" s="922"/>
      <c r="C149" s="918"/>
      <c r="D149" s="1387"/>
      <c r="E149" s="1492"/>
      <c r="F149" s="1434"/>
      <c r="G149" s="1117"/>
      <c r="H149" s="932"/>
      <c r="I149" s="1046"/>
      <c r="J149" s="1047"/>
      <c r="K149" s="932"/>
      <c r="L149" s="946"/>
      <c r="M149" s="680"/>
      <c r="N149" s="932"/>
      <c r="O149" s="946"/>
      <c r="P149" s="680"/>
      <c r="Q149" s="1639" t="s">
        <v>122</v>
      </c>
      <c r="R149" s="81"/>
      <c r="S149" s="1199">
        <v>30</v>
      </c>
      <c r="T149" s="135">
        <v>60</v>
      </c>
      <c r="U149" s="1604"/>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row>
    <row r="150" spans="1:53" s="8" customFormat="1" ht="15" customHeight="1" x14ac:dyDescent="0.2">
      <c r="A150" s="916"/>
      <c r="B150" s="922"/>
      <c r="C150" s="918"/>
      <c r="D150" s="1398"/>
      <c r="E150" s="1493"/>
      <c r="F150" s="1434"/>
      <c r="G150" s="283"/>
      <c r="H150" s="613"/>
      <c r="I150" s="614"/>
      <c r="J150" s="101"/>
      <c r="K150" s="613"/>
      <c r="L150" s="614"/>
      <c r="M150" s="152"/>
      <c r="N150" s="613"/>
      <c r="O150" s="486"/>
      <c r="P150" s="433"/>
      <c r="Q150" s="1446"/>
      <c r="R150" s="77"/>
      <c r="S150" s="137"/>
      <c r="T150" s="137"/>
      <c r="U150" s="1604"/>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row>
    <row r="151" spans="1:53" s="8" customFormat="1" ht="15.75" customHeight="1" x14ac:dyDescent="0.2">
      <c r="A151" s="916"/>
      <c r="B151" s="922"/>
      <c r="C151" s="918"/>
      <c r="D151" s="1373" t="s">
        <v>194</v>
      </c>
      <c r="E151" s="1494" t="s">
        <v>64</v>
      </c>
      <c r="F151" s="1434"/>
      <c r="G151" s="686" t="s">
        <v>286</v>
      </c>
      <c r="H151" s="932"/>
      <c r="I151" s="1046">
        <v>-968.3</v>
      </c>
      <c r="J151" s="1047">
        <f>I151-H151</f>
        <v>-968.3</v>
      </c>
      <c r="K151" s="932"/>
      <c r="L151" s="1046">
        <v>968.3</v>
      </c>
      <c r="M151" s="1097">
        <f>L151-K151</f>
        <v>968.3</v>
      </c>
      <c r="N151" s="932"/>
      <c r="O151" s="1046"/>
      <c r="P151" s="1097"/>
      <c r="Q151" s="1082" t="s">
        <v>94</v>
      </c>
      <c r="R151" s="34">
        <v>1</v>
      </c>
      <c r="S151" s="136"/>
      <c r="T151" s="136"/>
      <c r="U151" s="1605" t="s">
        <v>397</v>
      </c>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row>
    <row r="152" spans="1:53" s="8" customFormat="1" ht="32.25" customHeight="1" x14ac:dyDescent="0.2">
      <c r="A152" s="916"/>
      <c r="B152" s="922"/>
      <c r="C152" s="918"/>
      <c r="D152" s="1387"/>
      <c r="E152" s="1495"/>
      <c r="F152" s="1434"/>
      <c r="G152" s="1117" t="s">
        <v>285</v>
      </c>
      <c r="H152" s="1127"/>
      <c r="I152" s="1354">
        <v>-85.4</v>
      </c>
      <c r="J152" s="1355">
        <f>I152-H152</f>
        <v>-85.4</v>
      </c>
      <c r="K152" s="932"/>
      <c r="L152" s="1046">
        <v>85.4</v>
      </c>
      <c r="M152" s="1097">
        <f>L152-K152</f>
        <v>85.4</v>
      </c>
      <c r="N152" s="932"/>
      <c r="O152" s="1046"/>
      <c r="P152" s="1097"/>
      <c r="Q152" s="1502" t="s">
        <v>123</v>
      </c>
      <c r="R152" s="1356" t="s">
        <v>246</v>
      </c>
      <c r="S152" s="135">
        <v>50</v>
      </c>
      <c r="T152" s="135">
        <v>100</v>
      </c>
      <c r="U152" s="160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row>
    <row r="153" spans="1:53" s="8" customFormat="1" ht="109.5" customHeight="1" x14ac:dyDescent="0.2">
      <c r="A153" s="916"/>
      <c r="B153" s="922"/>
      <c r="C153" s="918"/>
      <c r="D153" s="1387"/>
      <c r="E153" s="1495"/>
      <c r="F153" s="1434"/>
      <c r="G153" s="1117"/>
      <c r="H153" s="1169"/>
      <c r="I153" s="1170"/>
      <c r="J153" s="101"/>
      <c r="K153" s="613"/>
      <c r="L153" s="486"/>
      <c r="M153" s="1171"/>
      <c r="N153" s="613"/>
      <c r="O153" s="486"/>
      <c r="P153" s="1171"/>
      <c r="Q153" s="1616"/>
      <c r="R153" s="1199"/>
      <c r="S153" s="135"/>
      <c r="T153" s="135"/>
      <c r="U153" s="1617"/>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row>
    <row r="154" spans="1:53" s="8" customFormat="1" ht="18" customHeight="1" x14ac:dyDescent="0.2">
      <c r="A154" s="916"/>
      <c r="B154" s="922"/>
      <c r="C154" s="918"/>
      <c r="D154" s="1373" t="s">
        <v>346</v>
      </c>
      <c r="E154" s="1504" t="s">
        <v>301</v>
      </c>
      <c r="F154" s="1434"/>
      <c r="G154" s="686" t="s">
        <v>286</v>
      </c>
      <c r="H154" s="932"/>
      <c r="I154" s="1046">
        <v>-120.2</v>
      </c>
      <c r="J154" s="1047">
        <f>I154-H154</f>
        <v>-120.2</v>
      </c>
      <c r="K154" s="932"/>
      <c r="L154" s="1046">
        <v>120.2</v>
      </c>
      <c r="M154" s="1047">
        <f>L154-K154</f>
        <v>120.2</v>
      </c>
      <c r="N154" s="1075"/>
      <c r="O154" s="1046"/>
      <c r="P154" s="1053"/>
      <c r="Q154" s="1191" t="s">
        <v>94</v>
      </c>
      <c r="R154" s="34">
        <v>1</v>
      </c>
      <c r="S154" s="136"/>
      <c r="T154" s="136"/>
      <c r="U154" s="1605" t="s">
        <v>393</v>
      </c>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row>
    <row r="155" spans="1:53" s="8" customFormat="1" ht="29.25" customHeight="1" x14ac:dyDescent="0.2">
      <c r="A155" s="916"/>
      <c r="B155" s="922"/>
      <c r="C155" s="918"/>
      <c r="D155" s="1387"/>
      <c r="E155" s="1501"/>
      <c r="F155" s="1434"/>
      <c r="G155" s="1353" t="s">
        <v>285</v>
      </c>
      <c r="H155" s="932"/>
      <c r="I155" s="1046">
        <v>-10.5</v>
      </c>
      <c r="J155" s="1098">
        <f>I155-H155</f>
        <v>-10.5</v>
      </c>
      <c r="K155" s="932"/>
      <c r="L155" s="1046">
        <v>10.5</v>
      </c>
      <c r="M155" s="1098">
        <f>L155-K155</f>
        <v>10.5</v>
      </c>
      <c r="N155" s="1075"/>
      <c r="O155" s="1046"/>
      <c r="P155" s="1053"/>
      <c r="Q155" s="1174" t="s">
        <v>124</v>
      </c>
      <c r="R155" s="1359" t="s">
        <v>388</v>
      </c>
      <c r="S155" s="135">
        <v>35</v>
      </c>
      <c r="T155" s="135">
        <v>100</v>
      </c>
      <c r="U155" s="1606"/>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row>
    <row r="156" spans="1:53" s="8" customFormat="1" ht="48.75" customHeight="1" x14ac:dyDescent="0.2">
      <c r="A156" s="916"/>
      <c r="B156" s="922"/>
      <c r="C156" s="918"/>
      <c r="D156" s="1398"/>
      <c r="E156" s="1506"/>
      <c r="F156" s="1434"/>
      <c r="G156" s="283"/>
      <c r="H156" s="613"/>
      <c r="I156" s="486"/>
      <c r="J156" s="1099"/>
      <c r="K156" s="613"/>
      <c r="L156" s="486"/>
      <c r="M156" s="1099"/>
      <c r="N156" s="429"/>
      <c r="O156" s="486"/>
      <c r="P156" s="433"/>
      <c r="Q156" s="1200"/>
      <c r="R156" s="77"/>
      <c r="S156" s="137"/>
      <c r="T156" s="137"/>
      <c r="U156" s="1607"/>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row>
    <row r="157" spans="1:53" s="8" customFormat="1" ht="15" customHeight="1" x14ac:dyDescent="0.2">
      <c r="A157" s="916"/>
      <c r="B157" s="922"/>
      <c r="C157" s="918"/>
      <c r="D157" s="1499" t="s">
        <v>223</v>
      </c>
      <c r="E157" s="1501" t="s">
        <v>303</v>
      </c>
      <c r="F157" s="910"/>
      <c r="G157" s="164"/>
      <c r="H157" s="1129"/>
      <c r="I157" s="284"/>
      <c r="J157" s="262"/>
      <c r="K157" s="1129"/>
      <c r="L157" s="1100"/>
      <c r="M157" s="1101"/>
      <c r="N157" s="1132"/>
      <c r="O157" s="1100"/>
      <c r="P157" s="1101"/>
      <c r="Q157" s="1191" t="s">
        <v>94</v>
      </c>
      <c r="R157" s="135">
        <v>1</v>
      </c>
      <c r="S157" s="135"/>
      <c r="T157" s="135"/>
      <c r="U157" s="160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row>
    <row r="158" spans="1:53" s="8" customFormat="1" ht="13.5" customHeight="1" x14ac:dyDescent="0.2">
      <c r="A158" s="916"/>
      <c r="B158" s="922"/>
      <c r="C158" s="918"/>
      <c r="D158" s="1499"/>
      <c r="E158" s="1501"/>
      <c r="F158" s="910"/>
      <c r="G158" s="164"/>
      <c r="H158" s="1129"/>
      <c r="I158" s="284"/>
      <c r="J158" s="262"/>
      <c r="K158" s="1129"/>
      <c r="L158" s="1100"/>
      <c r="M158" s="1101"/>
      <c r="N158" s="1132"/>
      <c r="O158" s="1100"/>
      <c r="P158" s="1101"/>
      <c r="Q158" s="1502" t="s">
        <v>212</v>
      </c>
      <c r="R158" s="135"/>
      <c r="S158" s="135">
        <v>50</v>
      </c>
      <c r="T158" s="135">
        <v>100</v>
      </c>
      <c r="U158" s="1606"/>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row>
    <row r="159" spans="1:53" s="8" customFormat="1" ht="20.25" customHeight="1" x14ac:dyDescent="0.2">
      <c r="A159" s="916"/>
      <c r="B159" s="922"/>
      <c r="C159" s="918"/>
      <c r="D159" s="1500"/>
      <c r="E159" s="1395"/>
      <c r="F159" s="1434"/>
      <c r="G159" s="165"/>
      <c r="H159" s="613"/>
      <c r="I159" s="614"/>
      <c r="J159" s="101"/>
      <c r="K159" s="613"/>
      <c r="L159" s="614"/>
      <c r="M159" s="152"/>
      <c r="N159" s="613"/>
      <c r="O159" s="614"/>
      <c r="P159" s="433"/>
      <c r="Q159" s="1445"/>
      <c r="R159" s="194"/>
      <c r="S159" s="137"/>
      <c r="T159" s="137"/>
      <c r="U159" s="1606"/>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row>
    <row r="160" spans="1:53" s="8" customFormat="1" ht="15" customHeight="1" x14ac:dyDescent="0.2">
      <c r="A160" s="916"/>
      <c r="B160" s="922"/>
      <c r="C160" s="918"/>
      <c r="D160" s="1373" t="s">
        <v>158</v>
      </c>
      <c r="E160" s="1504" t="s">
        <v>95</v>
      </c>
      <c r="F160" s="1434"/>
      <c r="G160" s="686" t="s">
        <v>286</v>
      </c>
      <c r="H160" s="1129"/>
      <c r="I160" s="1100">
        <v>-513.6</v>
      </c>
      <c r="J160" s="1355">
        <f>I160-H160</f>
        <v>-513.6</v>
      </c>
      <c r="K160" s="1129"/>
      <c r="L160" s="1100">
        <v>513.6</v>
      </c>
      <c r="M160" s="1355">
        <f>L160-K160</f>
        <v>513.6</v>
      </c>
      <c r="N160" s="1129"/>
      <c r="O160" s="284"/>
      <c r="P160" s="138"/>
      <c r="Q160" s="1191" t="s">
        <v>94</v>
      </c>
      <c r="R160" s="135">
        <v>1</v>
      </c>
      <c r="S160" s="135"/>
      <c r="T160" s="135"/>
      <c r="U160" s="1605" t="s">
        <v>394</v>
      </c>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row>
    <row r="161" spans="1:53" s="8" customFormat="1" ht="19.5" customHeight="1" x14ac:dyDescent="0.2">
      <c r="A161" s="916"/>
      <c r="B161" s="922"/>
      <c r="C161" s="918"/>
      <c r="D161" s="1387"/>
      <c r="E161" s="1501"/>
      <c r="F161" s="1434"/>
      <c r="G161" s="1353" t="s">
        <v>285</v>
      </c>
      <c r="H161" s="1129"/>
      <c r="I161" s="1100">
        <v>-45.3</v>
      </c>
      <c r="J161" s="1355">
        <f>I161-H161</f>
        <v>-45.3</v>
      </c>
      <c r="K161" s="1129"/>
      <c r="L161" s="1100">
        <v>45.3</v>
      </c>
      <c r="M161" s="1355">
        <f>L161-K161</f>
        <v>45.3</v>
      </c>
      <c r="N161" s="1129"/>
      <c r="O161" s="284"/>
      <c r="P161" s="138"/>
      <c r="Q161" s="1502" t="s">
        <v>154</v>
      </c>
      <c r="R161" s="1360" t="s">
        <v>389</v>
      </c>
      <c r="S161" s="135">
        <v>100</v>
      </c>
      <c r="T161" s="135"/>
      <c r="U161" s="1606"/>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row>
    <row r="162" spans="1:53" s="8" customFormat="1" ht="68.25" customHeight="1" x14ac:dyDescent="0.2">
      <c r="A162" s="916"/>
      <c r="B162" s="922"/>
      <c r="C162" s="918"/>
      <c r="D162" s="1398"/>
      <c r="E162" s="1501"/>
      <c r="F162" s="1434"/>
      <c r="G162" s="165"/>
      <c r="H162" s="613"/>
      <c r="I162" s="614"/>
      <c r="J162" s="101"/>
      <c r="K162" s="613"/>
      <c r="L162" s="614"/>
      <c r="M162" s="152"/>
      <c r="N162" s="613"/>
      <c r="O162" s="614"/>
      <c r="P162" s="152"/>
      <c r="Q162" s="1445"/>
      <c r="R162" s="137"/>
      <c r="S162" s="137"/>
      <c r="T162" s="137"/>
      <c r="U162" s="1607"/>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row>
    <row r="163" spans="1:53" s="8" customFormat="1" ht="13.5" customHeight="1" x14ac:dyDescent="0.2">
      <c r="A163" s="916"/>
      <c r="B163" s="922"/>
      <c r="C163" s="918"/>
      <c r="D163" s="1507" t="s">
        <v>160</v>
      </c>
      <c r="E163" s="1504" t="s">
        <v>95</v>
      </c>
      <c r="F163" s="1434"/>
      <c r="G163" s="164"/>
      <c r="H163" s="932"/>
      <c r="I163" s="946"/>
      <c r="J163" s="102"/>
      <c r="K163" s="110"/>
      <c r="L163" s="1094"/>
      <c r="M163" s="1095"/>
      <c r="N163" s="110"/>
      <c r="O163" s="1094"/>
      <c r="P163" s="1095"/>
      <c r="Q163" s="1191" t="s">
        <v>94</v>
      </c>
      <c r="R163" s="167">
        <v>1</v>
      </c>
      <c r="S163" s="135"/>
      <c r="T163" s="135"/>
      <c r="U163" s="160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row>
    <row r="164" spans="1:53" s="8" customFormat="1" ht="24.75" customHeight="1" x14ac:dyDescent="0.2">
      <c r="A164" s="916"/>
      <c r="B164" s="922"/>
      <c r="C164" s="918"/>
      <c r="D164" s="1508"/>
      <c r="E164" s="1501"/>
      <c r="F164" s="1434"/>
      <c r="G164" s="164"/>
      <c r="H164" s="932"/>
      <c r="I164" s="946"/>
      <c r="J164" s="102"/>
      <c r="K164" s="932"/>
      <c r="L164" s="1046"/>
      <c r="M164" s="1101"/>
      <c r="N164" s="1047"/>
      <c r="O164" s="1046"/>
      <c r="P164" s="1098"/>
      <c r="Q164" s="1502" t="s">
        <v>370</v>
      </c>
      <c r="R164" s="135">
        <v>40</v>
      </c>
      <c r="S164" s="135">
        <v>90</v>
      </c>
      <c r="T164" s="135">
        <v>100</v>
      </c>
      <c r="U164" s="1606"/>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row>
    <row r="165" spans="1:53" s="8" customFormat="1" ht="9" customHeight="1" x14ac:dyDescent="0.2">
      <c r="A165" s="916"/>
      <c r="B165" s="922"/>
      <c r="C165" s="918"/>
      <c r="D165" s="1509"/>
      <c r="E165" s="1506"/>
      <c r="F165" s="953"/>
      <c r="G165" s="165"/>
      <c r="H165" s="613"/>
      <c r="I165" s="614"/>
      <c r="J165" s="101"/>
      <c r="K165" s="613"/>
      <c r="L165" s="614"/>
      <c r="M165" s="152"/>
      <c r="N165" s="613"/>
      <c r="O165" s="614"/>
      <c r="P165" s="1128"/>
      <c r="Q165" s="1445"/>
      <c r="R165" s="137"/>
      <c r="S165" s="137"/>
      <c r="T165" s="137"/>
      <c r="U165" s="1606"/>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row>
    <row r="166" spans="1:53" s="8" customFormat="1" ht="15.75" customHeight="1" x14ac:dyDescent="0.2">
      <c r="A166" s="916"/>
      <c r="B166" s="922"/>
      <c r="C166" s="918"/>
      <c r="D166" s="1510" t="s">
        <v>214</v>
      </c>
      <c r="E166" s="1494" t="s">
        <v>318</v>
      </c>
      <c r="F166" s="416"/>
      <c r="G166" s="164"/>
      <c r="H166" s="932"/>
      <c r="I166" s="946"/>
      <c r="J166" s="102"/>
      <c r="K166" s="1130"/>
      <c r="L166" s="1077"/>
      <c r="M166" s="1078"/>
      <c r="N166" s="1076"/>
      <c r="O166" s="1077"/>
      <c r="P166" s="1078"/>
      <c r="Q166" s="1204" t="s">
        <v>94</v>
      </c>
      <c r="R166" s="361"/>
      <c r="S166" s="864" t="s">
        <v>189</v>
      </c>
      <c r="T166" s="985"/>
      <c r="U166" s="1600"/>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row>
    <row r="167" spans="1:53" s="8" customFormat="1" ht="24" customHeight="1" x14ac:dyDescent="0.2">
      <c r="A167" s="916"/>
      <c r="B167" s="922"/>
      <c r="C167" s="918"/>
      <c r="D167" s="1390"/>
      <c r="E167" s="1455"/>
      <c r="F167" s="910"/>
      <c r="G167" s="164"/>
      <c r="H167" s="932"/>
      <c r="I167" s="946"/>
      <c r="J167" s="102"/>
      <c r="K167" s="932"/>
      <c r="L167" s="1046"/>
      <c r="M167" s="1078"/>
      <c r="N167" s="1075"/>
      <c r="O167" s="1046"/>
      <c r="P167" s="1101"/>
      <c r="Q167" s="1085" t="s">
        <v>191</v>
      </c>
      <c r="R167" s="399"/>
      <c r="S167" s="456">
        <v>70</v>
      </c>
      <c r="T167" s="986">
        <v>100</v>
      </c>
      <c r="U167" s="1600"/>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row>
    <row r="168" spans="1:53" s="8" customFormat="1" ht="24" customHeight="1" x14ac:dyDescent="0.2">
      <c r="A168" s="1079"/>
      <c r="B168" s="1081"/>
      <c r="C168" s="1080"/>
      <c r="D168" s="1083"/>
      <c r="E168" s="1455"/>
      <c r="F168" s="416"/>
      <c r="G168" s="104"/>
      <c r="H168" s="613"/>
      <c r="I168" s="614"/>
      <c r="J168" s="101"/>
      <c r="K168" s="613"/>
      <c r="L168" s="486"/>
      <c r="M168" s="1103"/>
      <c r="N168" s="1133"/>
      <c r="O168" s="486"/>
      <c r="P168" s="1104"/>
      <c r="Q168" s="618"/>
      <c r="R168" s="363"/>
      <c r="S168" s="552"/>
      <c r="T168" s="1102"/>
      <c r="U168" s="1600"/>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row>
    <row r="169" spans="1:53" s="8" customFormat="1" ht="16.5" customHeight="1" x14ac:dyDescent="0.2">
      <c r="A169" s="916"/>
      <c r="B169" s="922"/>
      <c r="C169" s="918"/>
      <c r="D169" s="1640" t="s">
        <v>213</v>
      </c>
      <c r="E169" s="1455"/>
      <c r="F169" s="416"/>
      <c r="G169" s="164"/>
      <c r="H169" s="932"/>
      <c r="I169" s="946"/>
      <c r="J169" s="102"/>
      <c r="K169" s="1130"/>
      <c r="L169" s="172"/>
      <c r="M169" s="387"/>
      <c r="N169" s="1131"/>
      <c r="O169" s="172"/>
      <c r="P169" s="387"/>
      <c r="Q169" s="1639" t="s">
        <v>365</v>
      </c>
      <c r="R169" s="362">
        <v>1</v>
      </c>
      <c r="S169" s="456"/>
      <c r="T169" s="986"/>
      <c r="U169" s="485"/>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row>
    <row r="170" spans="1:53" s="8" customFormat="1" ht="20.25" customHeight="1" x14ac:dyDescent="0.2">
      <c r="A170" s="916"/>
      <c r="B170" s="922"/>
      <c r="C170" s="918"/>
      <c r="D170" s="1390"/>
      <c r="E170" s="915"/>
      <c r="F170" s="910"/>
      <c r="G170" s="165"/>
      <c r="H170" s="613"/>
      <c r="I170" s="614"/>
      <c r="J170" s="101"/>
      <c r="K170" s="613"/>
      <c r="L170" s="614"/>
      <c r="M170" s="152"/>
      <c r="N170" s="419"/>
      <c r="O170" s="193"/>
      <c r="P170" s="971"/>
      <c r="Q170" s="1517"/>
      <c r="R170" s="399"/>
      <c r="S170" s="456"/>
      <c r="T170" s="986"/>
      <c r="U170" s="485"/>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row>
    <row r="171" spans="1:53" s="8" customFormat="1" ht="16.5" customHeight="1" thickBot="1" x14ac:dyDescent="0.25">
      <c r="A171" s="26"/>
      <c r="B171" s="922"/>
      <c r="C171" s="953"/>
      <c r="D171" s="807"/>
      <c r="E171" s="447"/>
      <c r="F171" s="69"/>
      <c r="G171" s="35" t="s">
        <v>6</v>
      </c>
      <c r="H171" s="177">
        <f t="shared" ref="H171:P171" si="12">SUM(H141:H170)</f>
        <v>3455.1</v>
      </c>
      <c r="I171" s="177">
        <f t="shared" si="12"/>
        <v>1711.8</v>
      </c>
      <c r="J171" s="177">
        <f t="shared" si="12"/>
        <v>-1743.3</v>
      </c>
      <c r="K171" s="177">
        <f t="shared" si="12"/>
        <v>10494</v>
      </c>
      <c r="L171" s="177">
        <f t="shared" si="12"/>
        <v>12237.3</v>
      </c>
      <c r="M171" s="177">
        <f t="shared" si="12"/>
        <v>1743.3</v>
      </c>
      <c r="N171" s="177">
        <f t="shared" si="12"/>
        <v>12373.5</v>
      </c>
      <c r="O171" s="177">
        <f t="shared" si="12"/>
        <v>12373.5</v>
      </c>
      <c r="P171" s="177">
        <f t="shared" si="12"/>
        <v>0</v>
      </c>
      <c r="Q171" s="226"/>
      <c r="R171" s="41"/>
      <c r="S171" s="460"/>
      <c r="T171" s="410"/>
      <c r="U171" s="411"/>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row>
    <row r="172" spans="1:53" s="8" customFormat="1" ht="29.25" customHeight="1" x14ac:dyDescent="0.2">
      <c r="A172" s="927" t="s">
        <v>5</v>
      </c>
      <c r="B172" s="929" t="s">
        <v>5</v>
      </c>
      <c r="C172" s="930" t="s">
        <v>29</v>
      </c>
      <c r="D172" s="934" t="s">
        <v>244</v>
      </c>
      <c r="E172" s="227" t="s">
        <v>47</v>
      </c>
      <c r="F172" s="947" t="s">
        <v>46</v>
      </c>
      <c r="G172" s="66"/>
      <c r="H172" s="129"/>
      <c r="I172" s="161"/>
      <c r="J172" s="188"/>
      <c r="K172" s="129"/>
      <c r="L172" s="161"/>
      <c r="M172" s="188"/>
      <c r="N172" s="129"/>
      <c r="O172" s="161"/>
      <c r="P172" s="188"/>
      <c r="Q172" s="1084"/>
      <c r="R172" s="123"/>
      <c r="S172" s="294"/>
      <c r="T172" s="294"/>
      <c r="U172" s="196"/>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row>
    <row r="173" spans="1:53" s="8" customFormat="1" ht="14.25" customHeight="1" x14ac:dyDescent="0.2">
      <c r="A173" s="916"/>
      <c r="B173" s="922"/>
      <c r="C173" s="918"/>
      <c r="D173" s="1373" t="s">
        <v>237</v>
      </c>
      <c r="E173" s="1491" t="s">
        <v>236</v>
      </c>
      <c r="F173" s="1434"/>
      <c r="G173" s="686" t="s">
        <v>24</v>
      </c>
      <c r="H173" s="110">
        <v>10</v>
      </c>
      <c r="I173" s="145">
        <v>10</v>
      </c>
      <c r="J173" s="153"/>
      <c r="K173" s="110">
        <v>84</v>
      </c>
      <c r="L173" s="145">
        <v>84</v>
      </c>
      <c r="M173" s="153"/>
      <c r="N173" s="110"/>
      <c r="O173" s="145"/>
      <c r="P173" s="153"/>
      <c r="Q173" s="951" t="s">
        <v>94</v>
      </c>
      <c r="R173" s="34">
        <v>1</v>
      </c>
      <c r="S173" s="136"/>
      <c r="T173" s="136"/>
      <c r="U173" s="536"/>
      <c r="V173" s="668"/>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row>
    <row r="174" spans="1:53" s="8" customFormat="1" ht="12.75" customHeight="1" x14ac:dyDescent="0.2">
      <c r="A174" s="916"/>
      <c r="B174" s="922"/>
      <c r="C174" s="918"/>
      <c r="D174" s="1387"/>
      <c r="E174" s="1492"/>
      <c r="F174" s="1434"/>
      <c r="G174" s="283"/>
      <c r="H174" s="613"/>
      <c r="I174" s="614"/>
      <c r="J174" s="152"/>
      <c r="K174" s="613"/>
      <c r="L174" s="614"/>
      <c r="M174" s="152"/>
      <c r="N174" s="613"/>
      <c r="O174" s="614"/>
      <c r="P174" s="152"/>
      <c r="Q174" s="945" t="s">
        <v>238</v>
      </c>
      <c r="R174" s="81"/>
      <c r="S174" s="135">
        <v>1</v>
      </c>
      <c r="T174" s="135"/>
      <c r="U174" s="536"/>
      <c r="V174" s="668" t="s">
        <v>396</v>
      </c>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row>
    <row r="175" spans="1:53" s="8" customFormat="1" ht="16.5" customHeight="1" thickBot="1" x14ac:dyDescent="0.25">
      <c r="A175" s="26"/>
      <c r="B175" s="922"/>
      <c r="C175" s="953"/>
      <c r="D175" s="807"/>
      <c r="E175" s="447"/>
      <c r="F175" s="69"/>
      <c r="G175" s="35" t="s">
        <v>6</v>
      </c>
      <c r="H175" s="177">
        <f t="shared" ref="H175:M175" si="13">H173</f>
        <v>10</v>
      </c>
      <c r="I175" s="424">
        <f t="shared" si="13"/>
        <v>10</v>
      </c>
      <c r="J175" s="423">
        <f t="shared" si="13"/>
        <v>0</v>
      </c>
      <c r="K175" s="177">
        <f t="shared" si="13"/>
        <v>84</v>
      </c>
      <c r="L175" s="424">
        <f t="shared" si="13"/>
        <v>84</v>
      </c>
      <c r="M175" s="423">
        <f t="shared" si="13"/>
        <v>0</v>
      </c>
      <c r="N175" s="177"/>
      <c r="O175" s="424"/>
      <c r="P175" s="423"/>
      <c r="Q175" s="226"/>
      <c r="R175" s="41"/>
      <c r="S175" s="460"/>
      <c r="T175" s="410"/>
      <c r="U175" s="411"/>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row>
    <row r="176" spans="1:53" s="8" customFormat="1" ht="14.25" customHeight="1" thickBot="1" x14ac:dyDescent="0.25">
      <c r="A176" s="28" t="s">
        <v>5</v>
      </c>
      <c r="B176" s="72" t="s">
        <v>5</v>
      </c>
      <c r="C176" s="1518" t="s">
        <v>8</v>
      </c>
      <c r="D176" s="1519"/>
      <c r="E176" s="1519"/>
      <c r="F176" s="1519"/>
      <c r="G176" s="1520"/>
      <c r="H176" s="178">
        <f t="shared" ref="H176:P176" si="14">+H171+H140+H137+H134+H113+H76+H60+H175</f>
        <v>11985.8</v>
      </c>
      <c r="I176" s="178">
        <f t="shared" si="14"/>
        <v>9582.7999999999993</v>
      </c>
      <c r="J176" s="178">
        <f t="shared" si="14"/>
        <v>-2403</v>
      </c>
      <c r="K176" s="178">
        <f t="shared" si="14"/>
        <v>18709.099999999999</v>
      </c>
      <c r="L176" s="178">
        <f t="shared" si="14"/>
        <v>20452.400000000001</v>
      </c>
      <c r="M176" s="178">
        <f t="shared" si="14"/>
        <v>1743.3</v>
      </c>
      <c r="N176" s="178">
        <f t="shared" si="14"/>
        <v>20559.900000000001</v>
      </c>
      <c r="O176" s="178">
        <f t="shared" si="14"/>
        <v>20559.900000000001</v>
      </c>
      <c r="P176" s="109">
        <f t="shared" si="14"/>
        <v>0</v>
      </c>
      <c r="Q176" s="266"/>
      <c r="R176" s="266"/>
      <c r="S176" s="266"/>
      <c r="T176" s="266"/>
      <c r="U176" s="229"/>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row>
    <row r="177" spans="1:53" s="8" customFormat="1" ht="17.25" customHeight="1" thickBot="1" x14ac:dyDescent="0.25">
      <c r="A177" s="28" t="s">
        <v>5</v>
      </c>
      <c r="B177" s="72" t="s">
        <v>7</v>
      </c>
      <c r="C177" s="1511" t="s">
        <v>42</v>
      </c>
      <c r="D177" s="1512"/>
      <c r="E177" s="1512"/>
      <c r="F177" s="1512"/>
      <c r="G177" s="1512"/>
      <c r="H177" s="1512"/>
      <c r="I177" s="1512"/>
      <c r="J177" s="1512"/>
      <c r="K177" s="1512"/>
      <c r="L177" s="1512"/>
      <c r="M177" s="1512"/>
      <c r="N177" s="1512"/>
      <c r="O177" s="1512"/>
      <c r="P177" s="1512"/>
      <c r="Q177" s="1512"/>
      <c r="R177" s="1512"/>
      <c r="S177" s="1512"/>
      <c r="T177" s="1512"/>
      <c r="U177" s="151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row>
    <row r="178" spans="1:53" s="8" customFormat="1" ht="15.75" customHeight="1" x14ac:dyDescent="0.2">
      <c r="A178" s="82" t="s">
        <v>5</v>
      </c>
      <c r="B178" s="114" t="s">
        <v>7</v>
      </c>
      <c r="C178" s="236" t="s">
        <v>5</v>
      </c>
      <c r="D178" s="1367" t="s">
        <v>81</v>
      </c>
      <c r="E178" s="875"/>
      <c r="F178" s="876">
        <v>6</v>
      </c>
      <c r="G178" s="877" t="s">
        <v>24</v>
      </c>
      <c r="H178" s="129">
        <v>565.29999999999995</v>
      </c>
      <c r="I178" s="161">
        <v>565.29999999999995</v>
      </c>
      <c r="J178" s="188"/>
      <c r="K178" s="129">
        <v>597.5</v>
      </c>
      <c r="L178" s="161">
        <v>597.5</v>
      </c>
      <c r="M178" s="188"/>
      <c r="N178" s="129">
        <v>370</v>
      </c>
      <c r="O178" s="161">
        <v>370</v>
      </c>
      <c r="P178" s="128"/>
      <c r="Q178" s="878"/>
      <c r="R178" s="249"/>
      <c r="S178" s="249"/>
      <c r="T178" s="249"/>
      <c r="U178" s="250"/>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row>
    <row r="179" spans="1:53" s="8" customFormat="1" ht="18.75" customHeight="1" x14ac:dyDescent="0.2">
      <c r="A179" s="83"/>
      <c r="B179" s="235"/>
      <c r="C179" s="953"/>
      <c r="D179" s="1368"/>
      <c r="E179" s="925"/>
      <c r="F179" s="879"/>
      <c r="G179" s="59" t="s">
        <v>58</v>
      </c>
      <c r="H179" s="932">
        <v>35.6</v>
      </c>
      <c r="I179" s="946">
        <v>35.6</v>
      </c>
      <c r="J179" s="680"/>
      <c r="K179" s="932"/>
      <c r="L179" s="946"/>
      <c r="M179" s="680"/>
      <c r="N179" s="932"/>
      <c r="O179" s="946"/>
      <c r="P179" s="102"/>
      <c r="Q179" s="880"/>
      <c r="R179" s="492"/>
      <c r="S179" s="492"/>
      <c r="T179" s="492"/>
      <c r="U179" s="86"/>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row>
    <row r="180" spans="1:53" s="8" customFormat="1" ht="18" customHeight="1" x14ac:dyDescent="0.2">
      <c r="A180" s="83"/>
      <c r="B180" s="235"/>
      <c r="C180" s="953"/>
      <c r="D180" s="1514" t="s">
        <v>52</v>
      </c>
      <c r="E180" s="924"/>
      <c r="F180" s="53"/>
      <c r="G180" s="55"/>
      <c r="H180" s="653"/>
      <c r="I180" s="994"/>
      <c r="J180" s="993"/>
      <c r="K180" s="653"/>
      <c r="L180" s="994"/>
      <c r="M180" s="993"/>
      <c r="N180" s="653"/>
      <c r="O180" s="994"/>
      <c r="P180" s="652"/>
      <c r="Q180" s="944" t="s">
        <v>215</v>
      </c>
      <c r="R180" s="436">
        <v>350</v>
      </c>
      <c r="S180" s="579">
        <v>350</v>
      </c>
      <c r="T180" s="579">
        <v>350</v>
      </c>
      <c r="U180" s="438"/>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row>
    <row r="181" spans="1:53" s="8" customFormat="1" ht="28.5" customHeight="1" x14ac:dyDescent="0.2">
      <c r="A181" s="83"/>
      <c r="B181" s="235"/>
      <c r="C181" s="953"/>
      <c r="D181" s="1514"/>
      <c r="E181" s="924"/>
      <c r="F181" s="53"/>
      <c r="G181" s="55"/>
      <c r="H181" s="932"/>
      <c r="I181" s="946"/>
      <c r="J181" s="680"/>
      <c r="K181" s="932"/>
      <c r="L181" s="946"/>
      <c r="M181" s="680"/>
      <c r="N181" s="932"/>
      <c r="O181" s="946"/>
      <c r="P181" s="102"/>
      <c r="Q181" s="945" t="s">
        <v>126</v>
      </c>
      <c r="R181" s="172">
        <v>300</v>
      </c>
      <c r="S181" s="417">
        <v>300</v>
      </c>
      <c r="T181" s="417">
        <v>300</v>
      </c>
      <c r="U181" s="438"/>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row>
    <row r="182" spans="1:53" s="8" customFormat="1" ht="28.5" customHeight="1" x14ac:dyDescent="0.2">
      <c r="A182" s="83"/>
      <c r="B182" s="235"/>
      <c r="C182" s="918"/>
      <c r="D182" s="1515"/>
      <c r="E182" s="925"/>
      <c r="F182" s="53"/>
      <c r="G182" s="56"/>
      <c r="H182" s="613"/>
      <c r="I182" s="614"/>
      <c r="J182" s="152"/>
      <c r="K182" s="613"/>
      <c r="L182" s="614"/>
      <c r="M182" s="152"/>
      <c r="N182" s="613"/>
      <c r="O182" s="614"/>
      <c r="P182" s="101"/>
      <c r="Q182" s="225" t="s">
        <v>85</v>
      </c>
      <c r="R182" s="434">
        <v>36</v>
      </c>
      <c r="S182" s="418">
        <v>36</v>
      </c>
      <c r="T182" s="418">
        <v>36</v>
      </c>
      <c r="U182" s="438"/>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row>
    <row r="183" spans="1:53" s="8" customFormat="1" ht="14.25" customHeight="1" x14ac:dyDescent="0.2">
      <c r="A183" s="83"/>
      <c r="B183" s="235"/>
      <c r="C183" s="953"/>
      <c r="D183" s="1514" t="s">
        <v>190</v>
      </c>
      <c r="E183" s="924"/>
      <c r="F183" s="53"/>
      <c r="G183" s="55"/>
      <c r="H183" s="932"/>
      <c r="I183" s="946"/>
      <c r="J183" s="680"/>
      <c r="K183" s="932"/>
      <c r="L183" s="946"/>
      <c r="M183" s="680"/>
      <c r="N183" s="932"/>
      <c r="O183" s="946"/>
      <c r="P183" s="680"/>
      <c r="Q183" s="1598" t="s">
        <v>105</v>
      </c>
      <c r="R183" s="172">
        <v>18</v>
      </c>
      <c r="S183" s="579">
        <v>18</v>
      </c>
      <c r="T183" s="579">
        <v>18</v>
      </c>
      <c r="U183" s="438"/>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row>
    <row r="184" spans="1:53" s="8" customFormat="1" ht="13.5" customHeight="1" x14ac:dyDescent="0.2">
      <c r="A184" s="83"/>
      <c r="B184" s="235"/>
      <c r="C184" s="953"/>
      <c r="D184" s="1374"/>
      <c r="E184" s="924"/>
      <c r="F184" s="53"/>
      <c r="G184" s="55"/>
      <c r="H184" s="932"/>
      <c r="I184" s="946"/>
      <c r="J184" s="680"/>
      <c r="K184" s="932"/>
      <c r="L184" s="946"/>
      <c r="M184" s="680"/>
      <c r="N184" s="932"/>
      <c r="O184" s="946"/>
      <c r="P184" s="680"/>
      <c r="Q184" s="1599"/>
      <c r="R184" s="1072"/>
      <c r="S184" s="1073"/>
      <c r="T184" s="1073"/>
      <c r="U184" s="86"/>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row>
    <row r="185" spans="1:53" ht="27.75" customHeight="1" x14ac:dyDescent="0.2">
      <c r="A185" s="83"/>
      <c r="B185" s="235"/>
      <c r="C185" s="953"/>
      <c r="D185" s="1374"/>
      <c r="E185" s="924"/>
      <c r="F185" s="53"/>
      <c r="G185" s="55"/>
      <c r="H185" s="932"/>
      <c r="I185" s="946"/>
      <c r="J185" s="680"/>
      <c r="K185" s="932"/>
      <c r="L185" s="946"/>
      <c r="M185" s="680"/>
      <c r="N185" s="932"/>
      <c r="O185" s="946"/>
      <c r="P185" s="680"/>
      <c r="Q185" s="91" t="s">
        <v>101</v>
      </c>
      <c r="R185" s="173">
        <v>25</v>
      </c>
      <c r="S185" s="494">
        <v>5</v>
      </c>
      <c r="T185" s="494">
        <v>5</v>
      </c>
      <c r="U185" s="86"/>
    </row>
    <row r="186" spans="1:53" ht="16.5" customHeight="1" x14ac:dyDescent="0.2">
      <c r="A186" s="83"/>
      <c r="B186" s="235"/>
      <c r="C186" s="953"/>
      <c r="D186" s="1374"/>
      <c r="E186" s="87"/>
      <c r="F186" s="79"/>
      <c r="G186" s="55"/>
      <c r="H186" s="932"/>
      <c r="I186" s="946"/>
      <c r="J186" s="680"/>
      <c r="K186" s="932"/>
      <c r="L186" s="946"/>
      <c r="M186" s="680"/>
      <c r="N186" s="932"/>
      <c r="O186" s="946"/>
      <c r="P186" s="680"/>
      <c r="Q186" s="663" t="s">
        <v>44</v>
      </c>
      <c r="R186" s="251">
        <v>57</v>
      </c>
      <c r="S186" s="374">
        <v>57</v>
      </c>
      <c r="T186" s="374">
        <v>57</v>
      </c>
      <c r="U186" s="86"/>
    </row>
    <row r="187" spans="1:53" ht="25.5" customHeight="1" x14ac:dyDescent="0.2">
      <c r="A187" s="83"/>
      <c r="B187" s="235"/>
      <c r="C187" s="953"/>
      <c r="D187" s="1374"/>
      <c r="E187" s="87"/>
      <c r="F187" s="79"/>
      <c r="G187" s="55"/>
      <c r="H187" s="932"/>
      <c r="I187" s="946"/>
      <c r="J187" s="680"/>
      <c r="K187" s="932"/>
      <c r="L187" s="946"/>
      <c r="M187" s="680"/>
      <c r="N187" s="932"/>
      <c r="O187" s="946"/>
      <c r="P187" s="680"/>
      <c r="Q187" s="663" t="s">
        <v>100</v>
      </c>
      <c r="R187" s="251">
        <v>1</v>
      </c>
      <c r="S187" s="374"/>
      <c r="T187" s="374"/>
      <c r="U187" s="86"/>
      <c r="X187" s="668"/>
    </row>
    <row r="188" spans="1:53" ht="28.5" customHeight="1" x14ac:dyDescent="0.2">
      <c r="A188" s="83"/>
      <c r="B188" s="235"/>
      <c r="C188" s="953"/>
      <c r="D188" s="943"/>
      <c r="E188" s="87"/>
      <c r="F188" s="79"/>
      <c r="G188" s="55"/>
      <c r="H188" s="932"/>
      <c r="I188" s="946"/>
      <c r="J188" s="680"/>
      <c r="K188" s="932"/>
      <c r="L188" s="946"/>
      <c r="M188" s="680"/>
      <c r="N188" s="932"/>
      <c r="O188" s="946"/>
      <c r="P188" s="680"/>
      <c r="Q188" s="651" t="s">
        <v>267</v>
      </c>
      <c r="R188" s="645">
        <v>7.5</v>
      </c>
      <c r="S188" s="646">
        <v>7.5</v>
      </c>
      <c r="T188" s="646">
        <v>7.5</v>
      </c>
      <c r="U188" s="438"/>
    </row>
    <row r="189" spans="1:53" ht="40.5" customHeight="1" x14ac:dyDescent="0.2">
      <c r="A189" s="83"/>
      <c r="B189" s="235"/>
      <c r="C189" s="953"/>
      <c r="D189" s="943"/>
      <c r="E189" s="87"/>
      <c r="F189" s="79"/>
      <c r="G189" s="55"/>
      <c r="H189" s="932"/>
      <c r="I189" s="946"/>
      <c r="J189" s="680"/>
      <c r="K189" s="932"/>
      <c r="L189" s="946"/>
      <c r="M189" s="680"/>
      <c r="N189" s="932"/>
      <c r="O189" s="946"/>
      <c r="P189" s="680"/>
      <c r="Q189" s="651" t="s">
        <v>179</v>
      </c>
      <c r="R189" s="173">
        <v>100</v>
      </c>
      <c r="S189" s="494"/>
      <c r="T189" s="494"/>
      <c r="U189" s="86"/>
    </row>
    <row r="190" spans="1:53" ht="15.75" customHeight="1" x14ac:dyDescent="0.2">
      <c r="A190" s="83"/>
      <c r="B190" s="235"/>
      <c r="C190" s="953"/>
      <c r="D190" s="943"/>
      <c r="E190" s="87"/>
      <c r="F190" s="79"/>
      <c r="G190" s="55"/>
      <c r="H190" s="932"/>
      <c r="I190" s="946"/>
      <c r="J190" s="680"/>
      <c r="K190" s="932"/>
      <c r="L190" s="946"/>
      <c r="M190" s="680"/>
      <c r="N190" s="932"/>
      <c r="O190" s="946"/>
      <c r="P190" s="680"/>
      <c r="Q190" s="664" t="s">
        <v>178</v>
      </c>
      <c r="R190" s="173"/>
      <c r="S190" s="494">
        <v>80</v>
      </c>
      <c r="T190" s="494"/>
      <c r="U190" s="86"/>
    </row>
    <row r="191" spans="1:53" ht="29.25" customHeight="1" x14ac:dyDescent="0.2">
      <c r="A191" s="83"/>
      <c r="B191" s="235"/>
      <c r="C191" s="953"/>
      <c r="D191" s="943"/>
      <c r="E191" s="87"/>
      <c r="F191" s="79"/>
      <c r="G191" s="55"/>
      <c r="H191" s="932"/>
      <c r="I191" s="946"/>
      <c r="J191" s="680"/>
      <c r="K191" s="932"/>
      <c r="L191" s="946"/>
      <c r="M191" s="680"/>
      <c r="N191" s="932"/>
      <c r="O191" s="946"/>
      <c r="P191" s="680"/>
      <c r="Q191" s="651" t="s">
        <v>268</v>
      </c>
      <c r="R191" s="173">
        <v>50</v>
      </c>
      <c r="S191" s="494">
        <v>100</v>
      </c>
      <c r="T191" s="494"/>
      <c r="U191" s="86"/>
    </row>
    <row r="192" spans="1:53" ht="30.75" customHeight="1" x14ac:dyDescent="0.2">
      <c r="A192" s="83"/>
      <c r="B192" s="235"/>
      <c r="C192" s="953"/>
      <c r="D192" s="943"/>
      <c r="E192" s="87"/>
      <c r="F192" s="79"/>
      <c r="G192" s="56"/>
      <c r="H192" s="613"/>
      <c r="I192" s="614"/>
      <c r="J192" s="152"/>
      <c r="K192" s="499"/>
      <c r="L192" s="498"/>
      <c r="M192" s="495"/>
      <c r="N192" s="499"/>
      <c r="O192" s="498"/>
      <c r="P192" s="442"/>
      <c r="Q192" s="663" t="s">
        <v>269</v>
      </c>
      <c r="R192" s="251">
        <v>10</v>
      </c>
      <c r="S192" s="832">
        <v>100</v>
      </c>
      <c r="T192" s="832"/>
      <c r="U192" s="987"/>
    </row>
    <row r="193" spans="1:53" s="8" customFormat="1" ht="16.5" customHeight="1" thickBot="1" x14ac:dyDescent="0.25">
      <c r="A193" s="26"/>
      <c r="B193" s="922"/>
      <c r="C193" s="953"/>
      <c r="D193" s="807"/>
      <c r="E193" s="447"/>
      <c r="F193" s="69"/>
      <c r="G193" s="35" t="s">
        <v>6</v>
      </c>
      <c r="H193" s="177">
        <f>SUM(H178:H192)</f>
        <v>600.9</v>
      </c>
      <c r="I193" s="424">
        <f>SUM(I178:I192)</f>
        <v>600.9</v>
      </c>
      <c r="J193" s="423">
        <f>SUM(J178:J192)</f>
        <v>0</v>
      </c>
      <c r="K193" s="177">
        <f t="shared" ref="K193:L193" si="15">SUM(K178:K192)</f>
        <v>597.5</v>
      </c>
      <c r="L193" s="424">
        <f t="shared" si="15"/>
        <v>597.5</v>
      </c>
      <c r="M193" s="423">
        <f t="shared" ref="M193:P193" si="16">SUM(M178:M192)</f>
        <v>0</v>
      </c>
      <c r="N193" s="177">
        <f t="shared" ref="N193:O193" si="17">SUM(N178:N192)</f>
        <v>370</v>
      </c>
      <c r="O193" s="424">
        <f t="shared" si="17"/>
        <v>370</v>
      </c>
      <c r="P193" s="423">
        <f t="shared" si="16"/>
        <v>0</v>
      </c>
      <c r="Q193" s="226"/>
      <c r="R193" s="41"/>
      <c r="S193" s="460"/>
      <c r="T193" s="410"/>
      <c r="U193" s="411"/>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row>
    <row r="194" spans="1:53" ht="14.25" customHeight="1" thickBot="1" x14ac:dyDescent="0.25">
      <c r="A194" s="29" t="s">
        <v>5</v>
      </c>
      <c r="B194" s="6" t="s">
        <v>7</v>
      </c>
      <c r="C194" s="1519" t="s">
        <v>8</v>
      </c>
      <c r="D194" s="1519"/>
      <c r="E194" s="1519"/>
      <c r="F194" s="1519"/>
      <c r="G194" s="1519"/>
      <c r="H194" s="178">
        <f>H193</f>
        <v>600.9</v>
      </c>
      <c r="I194" s="252">
        <f>I193</f>
        <v>600.9</v>
      </c>
      <c r="J194" s="372">
        <f>J193</f>
        <v>0</v>
      </c>
      <c r="K194" s="178">
        <f t="shared" ref="K194:L194" si="18">K193</f>
        <v>597.5</v>
      </c>
      <c r="L194" s="252">
        <f t="shared" si="18"/>
        <v>597.5</v>
      </c>
      <c r="M194" s="372">
        <f t="shared" ref="M194:P194" si="19">M193</f>
        <v>0</v>
      </c>
      <c r="N194" s="178">
        <f t="shared" ref="N194:O194" si="20">N193</f>
        <v>370</v>
      </c>
      <c r="O194" s="252">
        <f t="shared" si="20"/>
        <v>370</v>
      </c>
      <c r="P194" s="372">
        <f t="shared" si="19"/>
        <v>0</v>
      </c>
      <c r="Q194" s="266"/>
      <c r="R194" s="266"/>
      <c r="S194" s="266"/>
      <c r="T194" s="266"/>
      <c r="U194" s="229"/>
    </row>
    <row r="195" spans="1:53" ht="17.25" customHeight="1" thickBot="1" x14ac:dyDescent="0.25">
      <c r="A195" s="28" t="s">
        <v>5</v>
      </c>
      <c r="B195" s="6" t="s">
        <v>26</v>
      </c>
      <c r="C195" s="1369" t="s">
        <v>136</v>
      </c>
      <c r="D195" s="1524"/>
      <c r="E195" s="1524"/>
      <c r="F195" s="1524"/>
      <c r="G195" s="1524"/>
      <c r="H195" s="1524"/>
      <c r="I195" s="1524"/>
      <c r="J195" s="1525"/>
      <c r="K195" s="1525"/>
      <c r="L195" s="1525"/>
      <c r="M195" s="1526"/>
      <c r="N195" s="1526"/>
      <c r="O195" s="1526"/>
      <c r="P195" s="1526"/>
      <c r="Q195" s="1526"/>
      <c r="R195" s="1526"/>
      <c r="S195" s="1526"/>
      <c r="T195" s="269"/>
      <c r="U195" s="231"/>
    </row>
    <row r="196" spans="1:53" ht="14.25" customHeight="1" x14ac:dyDescent="0.2">
      <c r="A196" s="273" t="s">
        <v>5</v>
      </c>
      <c r="B196" s="267" t="s">
        <v>26</v>
      </c>
      <c r="C196" s="1194" t="s">
        <v>5</v>
      </c>
      <c r="D196" s="1367" t="s">
        <v>98</v>
      </c>
      <c r="E196" s="210"/>
      <c r="F196" s="620">
        <v>6</v>
      </c>
      <c r="G196" s="1202" t="s">
        <v>24</v>
      </c>
      <c r="H196" s="932">
        <v>1292</v>
      </c>
      <c r="I196" s="161">
        <v>1292</v>
      </c>
      <c r="J196" s="98"/>
      <c r="K196" s="181">
        <f>1690.5-30-200+120</f>
        <v>1580.5</v>
      </c>
      <c r="L196" s="497">
        <f>1690.5-30-200+120</f>
        <v>1580.5</v>
      </c>
      <c r="M196" s="496"/>
      <c r="N196" s="445">
        <f>1695-200</f>
        <v>1495</v>
      </c>
      <c r="O196" s="497">
        <f>1695-200</f>
        <v>1495</v>
      </c>
      <c r="P196" s="1001"/>
      <c r="Q196" s="1115"/>
      <c r="R196" s="1116"/>
      <c r="S196" s="277"/>
      <c r="T196" s="1116"/>
      <c r="U196" s="278"/>
    </row>
    <row r="197" spans="1:53" ht="17.25" customHeight="1" x14ac:dyDescent="0.2">
      <c r="A197" s="273"/>
      <c r="B197" s="267"/>
      <c r="C197" s="1194"/>
      <c r="D197" s="1483"/>
      <c r="E197" s="280"/>
      <c r="F197" s="272"/>
      <c r="G197" s="283" t="s">
        <v>58</v>
      </c>
      <c r="H197" s="613">
        <f>100+35.1+196.7</f>
        <v>331.8</v>
      </c>
      <c r="I197" s="614">
        <f>100+35.1+196.7</f>
        <v>331.8</v>
      </c>
      <c r="J197" s="96"/>
      <c r="K197" s="836"/>
      <c r="L197" s="1000"/>
      <c r="M197" s="998"/>
      <c r="N197" s="836"/>
      <c r="O197" s="1000"/>
      <c r="P197" s="1002"/>
      <c r="Q197" s="225"/>
      <c r="R197" s="402"/>
      <c r="S197" s="381"/>
      <c r="T197" s="501"/>
      <c r="U197" s="279"/>
    </row>
    <row r="198" spans="1:53" ht="14.25" customHeight="1" x14ac:dyDescent="0.2">
      <c r="A198" s="273"/>
      <c r="B198" s="267"/>
      <c r="C198" s="1194"/>
      <c r="D198" s="1387" t="s">
        <v>283</v>
      </c>
      <c r="E198" s="210" t="s">
        <v>47</v>
      </c>
      <c r="F198" s="272"/>
      <c r="G198" s="1202" t="s">
        <v>24</v>
      </c>
      <c r="H198" s="932"/>
      <c r="I198" s="1046">
        <v>111</v>
      </c>
      <c r="J198" s="1172">
        <f>I198-H198</f>
        <v>111</v>
      </c>
      <c r="K198" s="932"/>
      <c r="L198" s="946"/>
      <c r="M198" s="102"/>
      <c r="N198" s="932"/>
      <c r="O198" s="946"/>
      <c r="P198" s="680"/>
      <c r="Q198" s="834"/>
      <c r="R198" s="3"/>
      <c r="S198" s="400"/>
      <c r="T198" s="502"/>
      <c r="U198" s="1614" t="s">
        <v>387</v>
      </c>
    </row>
    <row r="199" spans="1:53" ht="11.25" customHeight="1" x14ac:dyDescent="0.2">
      <c r="A199" s="273"/>
      <c r="B199" s="267"/>
      <c r="C199" s="1194"/>
      <c r="D199" s="1374"/>
      <c r="E199" s="210"/>
      <c r="F199" s="272"/>
      <c r="G199" s="1202" t="s">
        <v>58</v>
      </c>
      <c r="H199" s="932"/>
      <c r="I199" s="1046">
        <v>429</v>
      </c>
      <c r="J199" s="1172">
        <f>I199-H199</f>
        <v>429</v>
      </c>
      <c r="K199" s="932"/>
      <c r="L199" s="946"/>
      <c r="M199" s="102"/>
      <c r="N199" s="932"/>
      <c r="O199" s="946"/>
      <c r="P199" s="680"/>
      <c r="Q199" s="296"/>
      <c r="R199" s="428"/>
      <c r="S199" s="847"/>
      <c r="T199" s="503"/>
      <c r="U199" s="1615"/>
    </row>
    <row r="200" spans="1:53" ht="27" customHeight="1" x14ac:dyDescent="0.2">
      <c r="A200" s="273"/>
      <c r="B200" s="267"/>
      <c r="C200" s="1194"/>
      <c r="D200" s="281" t="s">
        <v>347</v>
      </c>
      <c r="E200" s="210"/>
      <c r="F200" s="272"/>
      <c r="G200" s="1202"/>
      <c r="H200" s="931"/>
      <c r="I200" s="933"/>
      <c r="J200" s="967"/>
      <c r="K200" s="931"/>
      <c r="L200" s="933"/>
      <c r="M200" s="332"/>
      <c r="N200" s="931"/>
      <c r="O200" s="933"/>
      <c r="P200" s="754"/>
      <c r="Q200" s="44" t="s">
        <v>270</v>
      </c>
      <c r="R200" s="358">
        <v>10</v>
      </c>
      <c r="S200" s="504">
        <v>10</v>
      </c>
      <c r="T200" s="504">
        <v>10</v>
      </c>
      <c r="U200" s="1615"/>
    </row>
    <row r="201" spans="1:53" ht="24" customHeight="1" x14ac:dyDescent="0.2">
      <c r="A201" s="273"/>
      <c r="B201" s="267"/>
      <c r="C201" s="1194"/>
      <c r="D201" s="1527" t="s">
        <v>302</v>
      </c>
      <c r="E201" s="210"/>
      <c r="F201" s="272"/>
      <c r="G201" s="1202"/>
      <c r="H201" s="932"/>
      <c r="I201" s="946"/>
      <c r="J201" s="98"/>
      <c r="K201" s="932"/>
      <c r="L201" s="946"/>
      <c r="M201" s="102"/>
      <c r="N201" s="932"/>
      <c r="O201" s="946"/>
      <c r="P201" s="680"/>
      <c r="Q201" s="1529" t="s">
        <v>230</v>
      </c>
      <c r="R201" s="1332">
        <v>580</v>
      </c>
      <c r="S201" s="505">
        <v>585</v>
      </c>
      <c r="T201" s="505">
        <v>596</v>
      </c>
      <c r="U201" s="1615"/>
    </row>
    <row r="202" spans="1:53" ht="15" customHeight="1" x14ac:dyDescent="0.2">
      <c r="A202" s="273"/>
      <c r="B202" s="267"/>
      <c r="C202" s="1194"/>
      <c r="D202" s="1528"/>
      <c r="E202" s="210"/>
      <c r="F202" s="272"/>
      <c r="G202" s="1202"/>
      <c r="H202" s="932"/>
      <c r="I202" s="946"/>
      <c r="J202" s="98"/>
      <c r="K202" s="932"/>
      <c r="L202" s="946"/>
      <c r="M202" s="102"/>
      <c r="N202" s="932"/>
      <c r="O202" s="946"/>
      <c r="P202" s="680"/>
      <c r="Q202" s="1530"/>
      <c r="R202" s="1333">
        <v>726</v>
      </c>
      <c r="S202" s="605"/>
      <c r="T202" s="605"/>
      <c r="U202" s="1615"/>
    </row>
    <row r="203" spans="1:53" ht="30.75" customHeight="1" x14ac:dyDescent="0.2">
      <c r="A203" s="273"/>
      <c r="B203" s="267"/>
      <c r="C203" s="1194"/>
      <c r="D203" s="297" t="s">
        <v>282</v>
      </c>
      <c r="E203" s="210"/>
      <c r="F203" s="272"/>
      <c r="G203" s="1202"/>
      <c r="H203" s="931"/>
      <c r="I203" s="933"/>
      <c r="J203" s="967"/>
      <c r="K203" s="931"/>
      <c r="L203" s="933"/>
      <c r="M203" s="332"/>
      <c r="N203" s="931"/>
      <c r="O203" s="933"/>
      <c r="P203" s="754"/>
      <c r="Q203" s="1196" t="s">
        <v>153</v>
      </c>
      <c r="R203" s="1334" t="s">
        <v>378</v>
      </c>
      <c r="S203" s="504">
        <v>7</v>
      </c>
      <c r="T203" s="504">
        <v>7</v>
      </c>
      <c r="U203" s="1615"/>
    </row>
    <row r="204" spans="1:53" ht="19.5" customHeight="1" x14ac:dyDescent="0.2">
      <c r="A204" s="1388"/>
      <c r="B204" s="1396"/>
      <c r="C204" s="1521"/>
      <c r="D204" s="1522" t="s">
        <v>141</v>
      </c>
      <c r="E204" s="1596"/>
      <c r="F204" s="272"/>
      <c r="G204" s="686"/>
      <c r="H204" s="110"/>
      <c r="I204" s="145"/>
      <c r="J204" s="127"/>
      <c r="K204" s="110"/>
      <c r="L204" s="145"/>
      <c r="M204" s="127"/>
      <c r="N204" s="110"/>
      <c r="O204" s="145"/>
      <c r="P204" s="153"/>
      <c r="Q204" s="1205" t="s">
        <v>151</v>
      </c>
      <c r="R204" s="175">
        <v>1</v>
      </c>
      <c r="S204" s="459"/>
      <c r="T204" s="168"/>
      <c r="U204" s="1615"/>
    </row>
    <row r="205" spans="1:53" ht="9" customHeight="1" x14ac:dyDescent="0.2">
      <c r="A205" s="1388"/>
      <c r="B205" s="1396"/>
      <c r="C205" s="1521"/>
      <c r="D205" s="1515"/>
      <c r="E205" s="1597"/>
      <c r="F205" s="272"/>
      <c r="G205" s="283"/>
      <c r="H205" s="613"/>
      <c r="I205" s="614"/>
      <c r="J205" s="101"/>
      <c r="K205" s="613"/>
      <c r="L205" s="614"/>
      <c r="M205" s="101"/>
      <c r="N205" s="613"/>
      <c r="O205" s="614"/>
      <c r="P205" s="152"/>
      <c r="Q205" s="1176"/>
      <c r="R205" s="176"/>
      <c r="S205" s="440"/>
      <c r="T205" s="169"/>
      <c r="U205" s="257"/>
    </row>
    <row r="206" spans="1:53" ht="12.75" customHeight="1" x14ac:dyDescent="0.2">
      <c r="A206" s="1388"/>
      <c r="B206" s="1396"/>
      <c r="C206" s="1521"/>
      <c r="D206" s="1522" t="s">
        <v>348</v>
      </c>
      <c r="E206" s="1523"/>
      <c r="F206" s="272"/>
      <c r="G206" s="1202"/>
      <c r="H206" s="932"/>
      <c r="I206" s="946"/>
      <c r="J206" s="102"/>
      <c r="K206" s="932"/>
      <c r="L206" s="946"/>
      <c r="M206" s="102"/>
      <c r="N206" s="932"/>
      <c r="O206" s="946"/>
      <c r="P206" s="680"/>
      <c r="Q206" s="1175" t="s">
        <v>271</v>
      </c>
      <c r="R206" s="174">
        <v>1</v>
      </c>
      <c r="S206" s="459"/>
      <c r="T206" s="168"/>
      <c r="U206" s="257"/>
    </row>
    <row r="207" spans="1:53" ht="12.75" customHeight="1" x14ac:dyDescent="0.2">
      <c r="A207" s="1388"/>
      <c r="B207" s="1396"/>
      <c r="C207" s="1521"/>
      <c r="D207" s="1514"/>
      <c r="E207" s="1523"/>
      <c r="F207" s="272"/>
      <c r="G207" s="1202"/>
      <c r="H207" s="932"/>
      <c r="I207" s="946"/>
      <c r="J207" s="102"/>
      <c r="K207" s="932"/>
      <c r="L207" s="946"/>
      <c r="M207" s="102"/>
      <c r="N207" s="932"/>
      <c r="O207" s="946"/>
      <c r="P207" s="680"/>
      <c r="Q207" s="1175" t="s">
        <v>272</v>
      </c>
      <c r="R207" s="174">
        <v>1</v>
      </c>
      <c r="S207" s="386"/>
      <c r="T207" s="167"/>
      <c r="U207" s="257"/>
    </row>
    <row r="208" spans="1:53" ht="27.75" customHeight="1" x14ac:dyDescent="0.2">
      <c r="A208" s="1388"/>
      <c r="B208" s="1396"/>
      <c r="C208" s="1521"/>
      <c r="D208" s="1515"/>
      <c r="E208" s="1523"/>
      <c r="F208" s="272"/>
      <c r="G208" s="1202"/>
      <c r="H208" s="932"/>
      <c r="I208" s="946"/>
      <c r="J208" s="102"/>
      <c r="K208" s="932"/>
      <c r="L208" s="946"/>
      <c r="M208" s="102"/>
      <c r="N208" s="932"/>
      <c r="O208" s="946"/>
      <c r="P208" s="680"/>
      <c r="Q208" s="1175"/>
      <c r="R208" s="176"/>
      <c r="S208" s="440"/>
      <c r="T208" s="169"/>
      <c r="U208" s="257"/>
    </row>
    <row r="209" spans="1:53" ht="18.75" customHeight="1" x14ac:dyDescent="0.2">
      <c r="A209" s="1180"/>
      <c r="B209" s="1181"/>
      <c r="C209" s="1183"/>
      <c r="D209" s="1373" t="s">
        <v>292</v>
      </c>
      <c r="E209" s="1177"/>
      <c r="F209" s="1184"/>
      <c r="G209" s="686"/>
      <c r="H209" s="110"/>
      <c r="I209" s="145"/>
      <c r="J209" s="153"/>
      <c r="K209" s="110"/>
      <c r="L209" s="1094"/>
      <c r="M209" s="1096"/>
      <c r="N209" s="110"/>
      <c r="O209" s="145"/>
      <c r="P209" s="153"/>
      <c r="Q209" s="1193" t="s">
        <v>274</v>
      </c>
      <c r="R209" s="1346">
        <v>4</v>
      </c>
      <c r="S209" s="704">
        <v>3</v>
      </c>
      <c r="T209" s="990">
        <v>3</v>
      </c>
      <c r="U209" s="1601"/>
      <c r="V209" s="8"/>
    </row>
    <row r="210" spans="1:53" ht="26.25" customHeight="1" x14ac:dyDescent="0.2">
      <c r="A210" s="1180"/>
      <c r="B210" s="1181"/>
      <c r="C210" s="1183"/>
      <c r="D210" s="1387"/>
      <c r="E210" s="1178"/>
      <c r="F210" s="1184"/>
      <c r="G210" s="1202"/>
      <c r="H210" s="932"/>
      <c r="I210" s="946"/>
      <c r="J210" s="680"/>
      <c r="K210" s="102"/>
      <c r="L210" s="946"/>
      <c r="M210" s="102"/>
      <c r="N210" s="932"/>
      <c r="O210" s="946"/>
      <c r="P210" s="680"/>
      <c r="Q210" s="44" t="s">
        <v>349</v>
      </c>
      <c r="R210" s="142">
        <v>3</v>
      </c>
      <c r="S210" s="142">
        <v>4</v>
      </c>
      <c r="T210" s="383">
        <v>3</v>
      </c>
      <c r="U210" s="1601"/>
      <c r="V210" s="8"/>
    </row>
    <row r="211" spans="1:53" ht="26.25" customHeight="1" x14ac:dyDescent="0.2">
      <c r="A211" s="26"/>
      <c r="B211" s="1185"/>
      <c r="C211" s="1183"/>
      <c r="D211" s="1387"/>
      <c r="E211" s="1178"/>
      <c r="F211" s="1184"/>
      <c r="G211" s="1202"/>
      <c r="H211" s="932"/>
      <c r="I211" s="946"/>
      <c r="J211" s="680"/>
      <c r="K211" s="102"/>
      <c r="L211" s="946"/>
      <c r="M211" s="102"/>
      <c r="N211" s="932"/>
      <c r="O211" s="946"/>
      <c r="P211" s="680"/>
      <c r="Q211" s="44" t="s">
        <v>350</v>
      </c>
      <c r="R211" s="199">
        <v>8</v>
      </c>
      <c r="S211" s="469">
        <v>11</v>
      </c>
      <c r="T211" s="617">
        <v>14</v>
      </c>
      <c r="U211" s="1601"/>
      <c r="V211" s="8"/>
    </row>
    <row r="212" spans="1:53" ht="17.25" customHeight="1" x14ac:dyDescent="0.2">
      <c r="A212" s="26"/>
      <c r="B212" s="1185"/>
      <c r="C212" s="1183"/>
      <c r="D212" s="1387"/>
      <c r="E212" s="1178"/>
      <c r="F212" s="1184"/>
      <c r="G212" s="1202"/>
      <c r="H212" s="932"/>
      <c r="I212" s="946"/>
      <c r="J212" s="102"/>
      <c r="K212" s="932"/>
      <c r="L212" s="946"/>
      <c r="M212" s="102"/>
      <c r="N212" s="932"/>
      <c r="O212" s="946"/>
      <c r="P212" s="680"/>
      <c r="Q212" s="31" t="s">
        <v>273</v>
      </c>
      <c r="R212" s="184">
        <v>100</v>
      </c>
      <c r="S212" s="358">
        <v>100</v>
      </c>
      <c r="T212" s="504">
        <v>100</v>
      </c>
      <c r="U212" s="1601"/>
      <c r="V212" s="8"/>
    </row>
    <row r="213" spans="1:53" ht="38.25" customHeight="1" x14ac:dyDescent="0.2">
      <c r="A213" s="26"/>
      <c r="B213" s="1185"/>
      <c r="C213" s="388"/>
      <c r="D213" s="1587"/>
      <c r="E213" s="1195"/>
      <c r="F213" s="272"/>
      <c r="G213" s="1202"/>
      <c r="H213" s="932"/>
      <c r="I213" s="946"/>
      <c r="J213" s="102"/>
      <c r="K213" s="932"/>
      <c r="L213" s="946"/>
      <c r="M213" s="102"/>
      <c r="N213" s="932"/>
      <c r="O213" s="946"/>
      <c r="P213" s="680"/>
      <c r="Q213" s="625" t="s">
        <v>275</v>
      </c>
      <c r="R213" s="603">
        <v>5</v>
      </c>
      <c r="S213" s="384">
        <v>5</v>
      </c>
      <c r="T213" s="505">
        <v>5</v>
      </c>
      <c r="U213" s="1601"/>
      <c r="V213" s="8"/>
    </row>
    <row r="214" spans="1:53" s="50" customFormat="1" ht="36" customHeight="1" x14ac:dyDescent="0.2">
      <c r="A214" s="367"/>
      <c r="B214" s="368"/>
      <c r="C214" s="404"/>
      <c r="D214" s="170"/>
      <c r="E214" s="370"/>
      <c r="F214" s="838"/>
      <c r="G214" s="446"/>
      <c r="H214" s="578"/>
      <c r="I214" s="996"/>
      <c r="J214" s="965"/>
      <c r="K214" s="101"/>
      <c r="L214" s="614"/>
      <c r="M214" s="152"/>
      <c r="N214" s="613"/>
      <c r="O214" s="614"/>
      <c r="P214" s="152"/>
      <c r="Q214" s="1196" t="s">
        <v>243</v>
      </c>
      <c r="R214" s="603"/>
      <c r="S214" s="505">
        <v>1</v>
      </c>
      <c r="T214" s="505"/>
      <c r="U214" s="1601"/>
    </row>
    <row r="215" spans="1:53" s="8" customFormat="1" ht="16.5" customHeight="1" thickBot="1" x14ac:dyDescent="0.25">
      <c r="A215" s="27"/>
      <c r="B215" s="1189"/>
      <c r="C215" s="33"/>
      <c r="D215" s="807"/>
      <c r="E215" s="447"/>
      <c r="F215" s="224"/>
      <c r="G215" s="35" t="s">
        <v>6</v>
      </c>
      <c r="H215" s="177">
        <f t="shared" ref="H215:P215" si="21">SUM(H196:H214)</f>
        <v>1623.8</v>
      </c>
      <c r="I215" s="424">
        <f t="shared" si="21"/>
        <v>2163.8000000000002</v>
      </c>
      <c r="J215" s="423">
        <f t="shared" si="21"/>
        <v>540</v>
      </c>
      <c r="K215" s="177">
        <f t="shared" si="21"/>
        <v>1580.5</v>
      </c>
      <c r="L215" s="424">
        <f t="shared" si="21"/>
        <v>1580.5</v>
      </c>
      <c r="M215" s="423">
        <f t="shared" si="21"/>
        <v>0</v>
      </c>
      <c r="N215" s="177">
        <f t="shared" si="21"/>
        <v>1495</v>
      </c>
      <c r="O215" s="424">
        <f t="shared" si="21"/>
        <v>1495</v>
      </c>
      <c r="P215" s="423">
        <f t="shared" si="21"/>
        <v>0</v>
      </c>
      <c r="Q215" s="226"/>
      <c r="R215" s="41"/>
      <c r="S215" s="460"/>
      <c r="T215" s="410"/>
      <c r="U215" s="1602"/>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row>
    <row r="216" spans="1:53" ht="33" customHeight="1" x14ac:dyDescent="0.2">
      <c r="A216" s="30" t="s">
        <v>5</v>
      </c>
      <c r="B216" s="232" t="s">
        <v>26</v>
      </c>
      <c r="C216" s="233" t="s">
        <v>7</v>
      </c>
      <c r="D216" s="937" t="s">
        <v>161</v>
      </c>
      <c r="E216" s="116"/>
      <c r="F216" s="947" t="s">
        <v>50</v>
      </c>
      <c r="G216" s="183" t="s">
        <v>24</v>
      </c>
      <c r="H216" s="129">
        <v>38.299999999999997</v>
      </c>
      <c r="I216" s="161">
        <f>35.3+3</f>
        <v>38.299999999999997</v>
      </c>
      <c r="J216" s="128"/>
      <c r="K216" s="129">
        <v>11.2</v>
      </c>
      <c r="L216" s="161">
        <v>11.2</v>
      </c>
      <c r="M216" s="188"/>
      <c r="N216" s="129">
        <v>11.2</v>
      </c>
      <c r="O216" s="161">
        <v>11.2</v>
      </c>
      <c r="P216" s="188"/>
      <c r="Q216" s="1112"/>
      <c r="R216" s="661"/>
      <c r="S216" s="508"/>
      <c r="T216" s="992"/>
      <c r="U216" s="257"/>
    </row>
    <row r="217" spans="1:53" ht="36.75" customHeight="1" x14ac:dyDescent="0.2">
      <c r="A217" s="273"/>
      <c r="B217" s="267"/>
      <c r="C217" s="936"/>
      <c r="D217" s="282" t="s">
        <v>351</v>
      </c>
      <c r="E217" s="1110"/>
      <c r="F217" s="910"/>
      <c r="G217" s="609"/>
      <c r="H217" s="163"/>
      <c r="I217" s="997"/>
      <c r="J217" s="995"/>
      <c r="K217" s="163"/>
      <c r="L217" s="997"/>
      <c r="M217" s="999"/>
      <c r="N217" s="163"/>
      <c r="O217" s="997"/>
      <c r="P217" s="999"/>
      <c r="Q217" s="405" t="s">
        <v>149</v>
      </c>
      <c r="R217" s="671"/>
      <c r="S217" s="507"/>
      <c r="T217" s="991">
        <v>1</v>
      </c>
      <c r="U217" s="257"/>
    </row>
    <row r="218" spans="1:53" ht="41.25" customHeight="1" x14ac:dyDescent="0.2">
      <c r="A218" s="273"/>
      <c r="B218" s="267"/>
      <c r="C218" s="936"/>
      <c r="D218" s="938" t="s">
        <v>352</v>
      </c>
      <c r="E218" s="1110"/>
      <c r="F218" s="910"/>
      <c r="G218" s="960"/>
      <c r="H218" s="932"/>
      <c r="I218" s="946"/>
      <c r="J218" s="102"/>
      <c r="K218" s="932"/>
      <c r="L218" s="946"/>
      <c r="M218" s="680"/>
      <c r="N218" s="932"/>
      <c r="O218" s="946"/>
      <c r="P218" s="680"/>
      <c r="Q218" s="956" t="s">
        <v>149</v>
      </c>
      <c r="R218" s="661">
        <v>1</v>
      </c>
      <c r="S218" s="508"/>
      <c r="T218" s="992"/>
      <c r="U218" s="257"/>
    </row>
    <row r="219" spans="1:53" ht="53.25" customHeight="1" x14ac:dyDescent="0.2">
      <c r="A219" s="273"/>
      <c r="B219" s="267"/>
      <c r="C219" s="936"/>
      <c r="D219" s="282" t="s">
        <v>293</v>
      </c>
      <c r="E219" s="1110"/>
      <c r="F219" s="910"/>
      <c r="G219" s="609"/>
      <c r="H219" s="163"/>
      <c r="I219" s="997"/>
      <c r="J219" s="995"/>
      <c r="K219" s="163"/>
      <c r="L219" s="997"/>
      <c r="M219" s="999"/>
      <c r="N219" s="163"/>
      <c r="O219" s="997"/>
      <c r="P219" s="999"/>
      <c r="Q219" s="405" t="s">
        <v>149</v>
      </c>
      <c r="R219" s="671">
        <v>1</v>
      </c>
      <c r="S219" s="507"/>
      <c r="T219" s="991"/>
      <c r="U219" s="257"/>
    </row>
    <row r="220" spans="1:53" ht="40.5" customHeight="1" x14ac:dyDescent="0.2">
      <c r="A220" s="273"/>
      <c r="B220" s="267"/>
      <c r="C220" s="936"/>
      <c r="D220" s="938" t="s">
        <v>279</v>
      </c>
      <c r="E220" s="1110"/>
      <c r="F220" s="910"/>
      <c r="G220" s="960"/>
      <c r="H220" s="932"/>
      <c r="I220" s="946"/>
      <c r="J220" s="102"/>
      <c r="K220" s="932"/>
      <c r="L220" s="946"/>
      <c r="M220" s="680"/>
      <c r="N220" s="932"/>
      <c r="O220" s="946"/>
      <c r="P220" s="680"/>
      <c r="Q220" s="956" t="s">
        <v>149</v>
      </c>
      <c r="R220" s="661"/>
      <c r="S220" s="508"/>
      <c r="T220" s="992">
        <v>1</v>
      </c>
      <c r="U220" s="257"/>
    </row>
    <row r="221" spans="1:53" ht="51" x14ac:dyDescent="0.2">
      <c r="A221" s="273"/>
      <c r="B221" s="267"/>
      <c r="C221" s="936"/>
      <c r="D221" s="282" t="s">
        <v>176</v>
      </c>
      <c r="E221" s="1110"/>
      <c r="F221" s="910"/>
      <c r="G221" s="609"/>
      <c r="H221" s="163"/>
      <c r="I221" s="997"/>
      <c r="J221" s="995"/>
      <c r="K221" s="163"/>
      <c r="L221" s="997"/>
      <c r="M221" s="999"/>
      <c r="N221" s="163"/>
      <c r="O221" s="997"/>
      <c r="P221" s="999"/>
      <c r="Q221" s="405" t="s">
        <v>149</v>
      </c>
      <c r="R221" s="671"/>
      <c r="S221" s="507"/>
      <c r="T221" s="991">
        <v>1</v>
      </c>
      <c r="U221" s="257"/>
    </row>
    <row r="222" spans="1:53" ht="39" customHeight="1" x14ac:dyDescent="0.2">
      <c r="A222" s="273"/>
      <c r="B222" s="267"/>
      <c r="C222" s="936"/>
      <c r="D222" s="282" t="s">
        <v>294</v>
      </c>
      <c r="E222" s="118"/>
      <c r="F222" s="1184"/>
      <c r="G222" s="283"/>
      <c r="H222" s="613"/>
      <c r="I222" s="614"/>
      <c r="J222" s="101"/>
      <c r="K222" s="613"/>
      <c r="L222" s="614"/>
      <c r="M222" s="152"/>
      <c r="N222" s="613"/>
      <c r="O222" s="614"/>
      <c r="P222" s="152"/>
      <c r="Q222" s="405" t="s">
        <v>149</v>
      </c>
      <c r="R222" s="671">
        <v>1</v>
      </c>
      <c r="S222" s="507"/>
      <c r="T222" s="671"/>
      <c r="U222" s="257"/>
    </row>
    <row r="223" spans="1:53" ht="40.5" customHeight="1" x14ac:dyDescent="0.2">
      <c r="A223" s="273"/>
      <c r="B223" s="267"/>
      <c r="C223" s="1109"/>
      <c r="D223" s="1192" t="s">
        <v>364</v>
      </c>
      <c r="E223" s="118"/>
      <c r="F223" s="1184"/>
      <c r="G223" s="283"/>
      <c r="H223" s="613"/>
      <c r="I223" s="614"/>
      <c r="J223" s="101"/>
      <c r="K223" s="613"/>
      <c r="L223" s="614"/>
      <c r="M223" s="152"/>
      <c r="N223" s="613"/>
      <c r="O223" s="614"/>
      <c r="P223" s="152"/>
      <c r="Q223" s="405" t="s">
        <v>149</v>
      </c>
      <c r="R223" s="671">
        <v>1</v>
      </c>
      <c r="S223" s="507"/>
      <c r="T223" s="991"/>
      <c r="U223" s="1348"/>
    </row>
    <row r="224" spans="1:53" ht="147" customHeight="1" x14ac:dyDescent="0.2">
      <c r="A224" s="273"/>
      <c r="B224" s="267"/>
      <c r="C224" s="1341"/>
      <c r="D224" s="1347" t="s">
        <v>379</v>
      </c>
      <c r="E224" s="118"/>
      <c r="F224" s="1342"/>
      <c r="G224" s="283" t="s">
        <v>24</v>
      </c>
      <c r="H224" s="613"/>
      <c r="I224" s="486">
        <v>11.3</v>
      </c>
      <c r="J224" s="1309">
        <f>I224-H224</f>
        <v>11.3</v>
      </c>
      <c r="K224" s="613"/>
      <c r="L224" s="614"/>
      <c r="M224" s="152"/>
      <c r="N224" s="613"/>
      <c r="O224" s="614"/>
      <c r="P224" s="152"/>
      <c r="Q224" s="405" t="s">
        <v>149</v>
      </c>
      <c r="R224" s="671">
        <v>1</v>
      </c>
      <c r="S224" s="507"/>
      <c r="T224" s="991"/>
      <c r="U224" s="1348" t="s">
        <v>395</v>
      </c>
    </row>
    <row r="225" spans="1:53" s="8" customFormat="1" ht="16.5" customHeight="1" thickBot="1" x14ac:dyDescent="0.25">
      <c r="A225" s="26"/>
      <c r="B225" s="922"/>
      <c r="C225" s="953"/>
      <c r="D225" s="807"/>
      <c r="E225" s="447"/>
      <c r="F225" s="69"/>
      <c r="G225" s="35" t="s">
        <v>6</v>
      </c>
      <c r="H225" s="177">
        <f>SUM(H216:H222)</f>
        <v>38.299999999999997</v>
      </c>
      <c r="I225" s="424">
        <f>SUM(I216:I224)</f>
        <v>49.6</v>
      </c>
      <c r="J225" s="424">
        <f>SUM(J216:J224)</f>
        <v>11.3</v>
      </c>
      <c r="K225" s="177">
        <f t="shared" ref="K225:L225" si="22">SUM(K216:K222)</f>
        <v>11.2</v>
      </c>
      <c r="L225" s="424">
        <f t="shared" si="22"/>
        <v>11.2</v>
      </c>
      <c r="M225" s="423">
        <f t="shared" ref="M225:P225" si="23">SUM(M216:M222)</f>
        <v>0</v>
      </c>
      <c r="N225" s="177">
        <f t="shared" ref="N225:O225" si="24">SUM(N216:N222)</f>
        <v>11.2</v>
      </c>
      <c r="O225" s="424">
        <f t="shared" si="24"/>
        <v>11.2</v>
      </c>
      <c r="P225" s="423">
        <f t="shared" si="23"/>
        <v>0</v>
      </c>
      <c r="Q225" s="226"/>
      <c r="R225" s="41"/>
      <c r="S225" s="460"/>
      <c r="T225" s="410"/>
      <c r="U225" s="411"/>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row>
    <row r="226" spans="1:53" ht="13.5" thickBot="1" x14ac:dyDescent="0.25">
      <c r="A226" s="28" t="s">
        <v>5</v>
      </c>
      <c r="B226" s="6" t="s">
        <v>26</v>
      </c>
      <c r="C226" s="1518" t="s">
        <v>8</v>
      </c>
      <c r="D226" s="1519"/>
      <c r="E226" s="1519"/>
      <c r="F226" s="1519"/>
      <c r="G226" s="1520"/>
      <c r="H226" s="178">
        <f>H225+H215</f>
        <v>1662.1</v>
      </c>
      <c r="I226" s="252">
        <f>I225+I215</f>
        <v>2213.4</v>
      </c>
      <c r="J226" s="372">
        <f>J225+J215</f>
        <v>551.29999999999995</v>
      </c>
      <c r="K226" s="178">
        <f t="shared" ref="K226:L226" si="25">K225+K215</f>
        <v>1591.7</v>
      </c>
      <c r="L226" s="252">
        <f t="shared" si="25"/>
        <v>1591.7</v>
      </c>
      <c r="M226" s="372">
        <f t="shared" ref="M226:P226" si="26">M225+M215</f>
        <v>0</v>
      </c>
      <c r="N226" s="178">
        <f t="shared" ref="N226:O226" si="27">N225+N215</f>
        <v>1506.2</v>
      </c>
      <c r="O226" s="252">
        <f t="shared" si="27"/>
        <v>1506.2</v>
      </c>
      <c r="P226" s="372">
        <f t="shared" si="26"/>
        <v>0</v>
      </c>
      <c r="Q226" s="266"/>
      <c r="R226" s="266"/>
      <c r="S226" s="266"/>
      <c r="T226" s="266"/>
      <c r="U226" s="229"/>
    </row>
    <row r="227" spans="1:53" ht="15.75" customHeight="1" thickBot="1" x14ac:dyDescent="0.25">
      <c r="A227" s="28" t="s">
        <v>5</v>
      </c>
      <c r="B227" s="6" t="s">
        <v>34</v>
      </c>
      <c r="C227" s="1369" t="s">
        <v>43</v>
      </c>
      <c r="D227" s="1370"/>
      <c r="E227" s="1370"/>
      <c r="F227" s="1370"/>
      <c r="G227" s="1370"/>
      <c r="H227" s="1370"/>
      <c r="I227" s="1370"/>
      <c r="J227" s="1370"/>
      <c r="K227" s="939"/>
      <c r="L227" s="939"/>
      <c r="M227" s="939"/>
      <c r="N227" s="939"/>
      <c r="O227" s="939"/>
      <c r="P227" s="939"/>
      <c r="Q227" s="955"/>
      <c r="R227" s="269"/>
      <c r="S227" s="269"/>
      <c r="T227" s="269"/>
      <c r="U227" s="231"/>
    </row>
    <row r="228" spans="1:53" s="50" customFormat="1" ht="15.75" customHeight="1" x14ac:dyDescent="0.2">
      <c r="A228" s="1588" t="s">
        <v>5</v>
      </c>
      <c r="B228" s="1590" t="s">
        <v>34</v>
      </c>
      <c r="C228" s="1592" t="s">
        <v>5</v>
      </c>
      <c r="D228" s="1594" t="s">
        <v>196</v>
      </c>
      <c r="E228" s="1584" t="s">
        <v>47</v>
      </c>
      <c r="F228" s="947" t="s">
        <v>27</v>
      </c>
      <c r="G228" s="211" t="s">
        <v>24</v>
      </c>
      <c r="H228" s="212">
        <v>100</v>
      </c>
      <c r="I228" s="1337">
        <f>100-78.1</f>
        <v>21.9</v>
      </c>
      <c r="J228" s="1338">
        <f>I228-H228</f>
        <v>-78.099999999999994</v>
      </c>
      <c r="K228" s="212">
        <v>200</v>
      </c>
      <c r="L228" s="1337">
        <f>200+78.1</f>
        <v>278.10000000000002</v>
      </c>
      <c r="M228" s="1338">
        <f>L228-K228</f>
        <v>78.099999999999994</v>
      </c>
      <c r="N228" s="212">
        <v>200</v>
      </c>
      <c r="O228" s="259">
        <v>200</v>
      </c>
      <c r="P228" s="513"/>
      <c r="Q228" s="657" t="s">
        <v>195</v>
      </c>
      <c r="R228" s="1339">
        <v>1322</v>
      </c>
      <c r="S228" s="659">
        <v>670</v>
      </c>
      <c r="T228" s="659">
        <v>670</v>
      </c>
      <c r="U228" s="1641" t="s">
        <v>390</v>
      </c>
    </row>
    <row r="229" spans="1:53" s="50" customFormat="1" ht="129" customHeight="1" x14ac:dyDescent="0.2">
      <c r="A229" s="1589"/>
      <c r="B229" s="1591"/>
      <c r="C229" s="1593"/>
      <c r="D229" s="1595"/>
      <c r="E229" s="1585"/>
      <c r="F229" s="910"/>
      <c r="G229" s="406" t="s">
        <v>58</v>
      </c>
      <c r="H229" s="512">
        <f>100+123.9</f>
        <v>223.9</v>
      </c>
      <c r="I229" s="516">
        <f>100+123.9</f>
        <v>223.9</v>
      </c>
      <c r="J229" s="514"/>
      <c r="K229" s="512"/>
      <c r="L229" s="516"/>
      <c r="M229" s="514"/>
      <c r="N229" s="512"/>
      <c r="O229" s="516"/>
      <c r="P229" s="514"/>
      <c r="Q229" s="684"/>
      <c r="R229" s="1340">
        <v>785</v>
      </c>
      <c r="S229" s="685"/>
      <c r="T229" s="685"/>
      <c r="U229" s="1642"/>
    </row>
    <row r="230" spans="1:53" s="50" customFormat="1" ht="18" customHeight="1" thickBot="1" x14ac:dyDescent="0.25">
      <c r="A230" s="335"/>
      <c r="B230" s="336"/>
      <c r="C230" s="340"/>
      <c r="D230" s="338"/>
      <c r="E230" s="339"/>
      <c r="F230" s="290"/>
      <c r="G230" s="871" t="s">
        <v>6</v>
      </c>
      <c r="H230" s="186">
        <f t="shared" ref="H230:P230" si="28">SUM(H228:H229)</f>
        <v>323.89999999999998</v>
      </c>
      <c r="I230" s="187">
        <f t="shared" si="28"/>
        <v>245.8</v>
      </c>
      <c r="J230" s="515">
        <f t="shared" si="28"/>
        <v>-78.099999999999994</v>
      </c>
      <c r="K230" s="186">
        <f t="shared" si="28"/>
        <v>200</v>
      </c>
      <c r="L230" s="187">
        <f t="shared" si="28"/>
        <v>278.10000000000002</v>
      </c>
      <c r="M230" s="515">
        <f t="shared" si="28"/>
        <v>78.099999999999994</v>
      </c>
      <c r="N230" s="186">
        <f t="shared" si="28"/>
        <v>200</v>
      </c>
      <c r="O230" s="187">
        <f t="shared" si="28"/>
        <v>200</v>
      </c>
      <c r="P230" s="515">
        <f t="shared" si="28"/>
        <v>0</v>
      </c>
      <c r="Q230" s="237"/>
      <c r="R230" s="214"/>
      <c r="S230" s="214"/>
      <c r="T230" s="214"/>
      <c r="U230" s="1643"/>
    </row>
    <row r="231" spans="1:53" ht="15" customHeight="1" x14ac:dyDescent="0.2">
      <c r="A231" s="916" t="s">
        <v>5</v>
      </c>
      <c r="B231" s="917" t="s">
        <v>34</v>
      </c>
      <c r="C231" s="953" t="s">
        <v>7</v>
      </c>
      <c r="D231" s="1514" t="s">
        <v>127</v>
      </c>
      <c r="E231" s="118" t="s">
        <v>47</v>
      </c>
      <c r="F231" s="910" t="s">
        <v>46</v>
      </c>
      <c r="G231" s="422" t="s">
        <v>58</v>
      </c>
      <c r="H231" s="129">
        <v>46.8</v>
      </c>
      <c r="I231" s="161">
        <v>46.8</v>
      </c>
      <c r="J231" s="188"/>
      <c r="K231" s="128"/>
      <c r="L231" s="161"/>
      <c r="M231" s="188"/>
      <c r="N231" s="128"/>
      <c r="O231" s="161"/>
      <c r="P231" s="188"/>
      <c r="Q231" s="253" t="s">
        <v>94</v>
      </c>
      <c r="R231" s="254" t="s">
        <v>50</v>
      </c>
      <c r="S231" s="510"/>
      <c r="T231" s="510"/>
      <c r="U231" s="257"/>
    </row>
    <row r="232" spans="1:53" ht="13.5" customHeight="1" x14ac:dyDescent="0.2">
      <c r="A232" s="26"/>
      <c r="B232" s="917"/>
      <c r="C232" s="69"/>
      <c r="D232" s="1514"/>
      <c r="E232" s="118"/>
      <c r="F232" s="910"/>
      <c r="G232" s="419"/>
      <c r="H232" s="613"/>
      <c r="I232" s="614"/>
      <c r="J232" s="152"/>
      <c r="K232" s="613"/>
      <c r="L232" s="614"/>
      <c r="M232" s="152"/>
      <c r="N232" s="613"/>
      <c r="O232" s="614"/>
      <c r="P232" s="152"/>
      <c r="Q232" s="945" t="s">
        <v>306</v>
      </c>
      <c r="R232" s="256"/>
      <c r="S232" s="167"/>
      <c r="T232" s="167"/>
      <c r="U232" s="257"/>
    </row>
    <row r="233" spans="1:53" s="50" customFormat="1" ht="16.5" customHeight="1" thickBot="1" x14ac:dyDescent="0.25">
      <c r="A233" s="27"/>
      <c r="B233" s="61"/>
      <c r="C233" s="224"/>
      <c r="D233" s="1586"/>
      <c r="E233" s="117"/>
      <c r="F233" s="441"/>
      <c r="G233" s="871" t="s">
        <v>6</v>
      </c>
      <c r="H233" s="186">
        <f>SUM(H231:H232)</f>
        <v>46.8</v>
      </c>
      <c r="I233" s="187">
        <f>SUM(I231:I232)</f>
        <v>46.8</v>
      </c>
      <c r="J233" s="515">
        <f>SUM(J231:J232)</f>
        <v>0</v>
      </c>
      <c r="K233" s="186">
        <f t="shared" ref="K233:M233" si="29">SUM(K231:K232)</f>
        <v>0</v>
      </c>
      <c r="L233" s="187">
        <f t="shared" ref="L233" si="30">SUM(L231:L232)</f>
        <v>0</v>
      </c>
      <c r="M233" s="515">
        <f t="shared" si="29"/>
        <v>0</v>
      </c>
      <c r="N233" s="186">
        <f>N231</f>
        <v>0</v>
      </c>
      <c r="O233" s="187">
        <f>O231</f>
        <v>0</v>
      </c>
      <c r="P233" s="515">
        <f>P231</f>
        <v>0</v>
      </c>
      <c r="Q233" s="237"/>
      <c r="R233" s="258"/>
      <c r="S233" s="511"/>
      <c r="T233" s="511"/>
      <c r="U233" s="257"/>
    </row>
    <row r="234" spans="1:53" ht="17.25" customHeight="1" x14ac:dyDescent="0.2">
      <c r="A234" s="916" t="s">
        <v>5</v>
      </c>
      <c r="B234" s="917" t="s">
        <v>34</v>
      </c>
      <c r="C234" s="953" t="s">
        <v>26</v>
      </c>
      <c r="D234" s="1514" t="s">
        <v>353</v>
      </c>
      <c r="E234" s="118" t="s">
        <v>47</v>
      </c>
      <c r="F234" s="910" t="s">
        <v>46</v>
      </c>
      <c r="G234" s="420" t="s">
        <v>24</v>
      </c>
      <c r="H234" s="932">
        <v>20</v>
      </c>
      <c r="I234" s="946">
        <v>20</v>
      </c>
      <c r="J234" s="680"/>
      <c r="K234" s="128"/>
      <c r="L234" s="161"/>
      <c r="M234" s="188"/>
      <c r="N234" s="128"/>
      <c r="O234" s="161"/>
      <c r="P234" s="188"/>
      <c r="Q234" s="253" t="s">
        <v>234</v>
      </c>
      <c r="R234" s="254" t="s">
        <v>235</v>
      </c>
      <c r="S234" s="510"/>
      <c r="T234" s="510"/>
      <c r="U234" s="257"/>
    </row>
    <row r="235" spans="1:53" ht="12" customHeight="1" x14ac:dyDescent="0.2">
      <c r="A235" s="26"/>
      <c r="B235" s="917"/>
      <c r="C235" s="69"/>
      <c r="D235" s="1514"/>
      <c r="E235" s="118"/>
      <c r="F235" s="910"/>
      <c r="G235" s="419"/>
      <c r="H235" s="613"/>
      <c r="I235" s="614"/>
      <c r="J235" s="152"/>
      <c r="K235" s="613"/>
      <c r="L235" s="614"/>
      <c r="M235" s="152"/>
      <c r="N235" s="613"/>
      <c r="O235" s="614"/>
      <c r="P235" s="152"/>
      <c r="Q235" s="945"/>
      <c r="R235" s="256"/>
      <c r="S235" s="167"/>
      <c r="T235" s="167"/>
      <c r="U235" s="257"/>
    </row>
    <row r="236" spans="1:53" s="50" customFormat="1" ht="17.25" customHeight="1" thickBot="1" x14ac:dyDescent="0.25">
      <c r="A236" s="27"/>
      <c r="B236" s="61"/>
      <c r="C236" s="224"/>
      <c r="D236" s="1586"/>
      <c r="E236" s="117"/>
      <c r="F236" s="441"/>
      <c r="G236" s="871" t="s">
        <v>6</v>
      </c>
      <c r="H236" s="186">
        <f>SUM(H234:H235)</f>
        <v>20</v>
      </c>
      <c r="I236" s="187">
        <f>SUM(I234:I235)</f>
        <v>20</v>
      </c>
      <c r="J236" s="515">
        <f>SUM(J234:J235)</f>
        <v>0</v>
      </c>
      <c r="K236" s="186">
        <f t="shared" ref="K236:M236" si="31">SUM(K234:K235)</f>
        <v>0</v>
      </c>
      <c r="L236" s="187">
        <f t="shared" ref="L236" si="32">SUM(L234:L235)</f>
        <v>0</v>
      </c>
      <c r="M236" s="515">
        <f t="shared" si="31"/>
        <v>0</v>
      </c>
      <c r="N236" s="186">
        <f>N234</f>
        <v>0</v>
      </c>
      <c r="O236" s="187">
        <f>O234</f>
        <v>0</v>
      </c>
      <c r="P236" s="515">
        <f>P234</f>
        <v>0</v>
      </c>
      <c r="Q236" s="237"/>
      <c r="R236" s="258"/>
      <c r="S236" s="511"/>
      <c r="T236" s="511"/>
      <c r="U236" s="185"/>
    </row>
    <row r="237" spans="1:53" ht="13.5" thickBot="1" x14ac:dyDescent="0.25">
      <c r="A237" s="928" t="s">
        <v>5</v>
      </c>
      <c r="B237" s="268" t="s">
        <v>34</v>
      </c>
      <c r="C237" s="1564" t="s">
        <v>8</v>
      </c>
      <c r="D237" s="1565"/>
      <c r="E237" s="1565"/>
      <c r="F237" s="1565"/>
      <c r="G237" s="1565"/>
      <c r="H237" s="178">
        <f>H233+H230+H236</f>
        <v>390.7</v>
      </c>
      <c r="I237" s="252">
        <f>I233+I230+I236</f>
        <v>312.60000000000002</v>
      </c>
      <c r="J237" s="372">
        <f>J233+J230+J236</f>
        <v>-78.099999999999994</v>
      </c>
      <c r="K237" s="178">
        <f t="shared" ref="K237:L237" si="33">K233+K230+K236</f>
        <v>200</v>
      </c>
      <c r="L237" s="252">
        <f t="shared" si="33"/>
        <v>278.10000000000002</v>
      </c>
      <c r="M237" s="372">
        <f t="shared" ref="M237:P237" si="34">M233+M230+M236</f>
        <v>78.099999999999994</v>
      </c>
      <c r="N237" s="178">
        <f t="shared" ref="N237:O237" si="35">N233+N230+N236</f>
        <v>200</v>
      </c>
      <c r="O237" s="252">
        <f t="shared" si="35"/>
        <v>200</v>
      </c>
      <c r="P237" s="372">
        <f t="shared" si="34"/>
        <v>0</v>
      </c>
      <c r="Q237" s="266"/>
      <c r="R237" s="266"/>
      <c r="S237" s="266"/>
      <c r="T237" s="266"/>
      <c r="U237" s="229"/>
    </row>
    <row r="238" spans="1:53" ht="14.25" customHeight="1" thickBot="1" x14ac:dyDescent="0.25">
      <c r="A238" s="29" t="s">
        <v>5</v>
      </c>
      <c r="B238" s="1566" t="s">
        <v>9</v>
      </c>
      <c r="C238" s="1567"/>
      <c r="D238" s="1567"/>
      <c r="E238" s="1567"/>
      <c r="F238" s="1567"/>
      <c r="G238" s="1567"/>
      <c r="H238" s="112">
        <f t="shared" ref="H238:P238" si="36">H237+H226+H194+H176</f>
        <v>14639.5</v>
      </c>
      <c r="I238" s="517">
        <f t="shared" si="36"/>
        <v>12709.7</v>
      </c>
      <c r="J238" s="1003">
        <f t="shared" si="36"/>
        <v>-1929.8</v>
      </c>
      <c r="K238" s="112">
        <f t="shared" si="36"/>
        <v>21098.3</v>
      </c>
      <c r="L238" s="517">
        <f t="shared" si="36"/>
        <v>22919.7</v>
      </c>
      <c r="M238" s="1003">
        <f t="shared" si="36"/>
        <v>1821.4</v>
      </c>
      <c r="N238" s="112">
        <f t="shared" si="36"/>
        <v>22636.1</v>
      </c>
      <c r="O238" s="517">
        <f t="shared" si="36"/>
        <v>22636.1</v>
      </c>
      <c r="P238" s="1003">
        <f t="shared" si="36"/>
        <v>0</v>
      </c>
      <c r="Q238" s="1568"/>
      <c r="R238" s="1569"/>
      <c r="S238" s="1569"/>
      <c r="T238" s="1569"/>
      <c r="U238" s="1570"/>
    </row>
    <row r="239" spans="1:53" ht="14.25" customHeight="1" thickBot="1" x14ac:dyDescent="0.25">
      <c r="A239" s="21" t="s">
        <v>36</v>
      </c>
      <c r="B239" s="1571" t="s">
        <v>56</v>
      </c>
      <c r="C239" s="1572"/>
      <c r="D239" s="1572"/>
      <c r="E239" s="1572"/>
      <c r="F239" s="1572"/>
      <c r="G239" s="1572"/>
      <c r="H239" s="113">
        <f t="shared" ref="H239:I239" si="37">SUM(H238)</f>
        <v>14639.5</v>
      </c>
      <c r="I239" s="518">
        <f t="shared" si="37"/>
        <v>12709.7</v>
      </c>
      <c r="J239" s="1004">
        <f t="shared" ref="J239:P239" si="38">SUM(J238)</f>
        <v>-1929.8</v>
      </c>
      <c r="K239" s="113">
        <f t="shared" ref="K239:L239" si="39">SUM(K238)</f>
        <v>21098.3</v>
      </c>
      <c r="L239" s="518">
        <f t="shared" si="39"/>
        <v>22919.7</v>
      </c>
      <c r="M239" s="1005">
        <f t="shared" si="38"/>
        <v>1821.4</v>
      </c>
      <c r="N239" s="113">
        <f t="shared" ref="N239:O239" si="40">SUM(N238)</f>
        <v>22636.1</v>
      </c>
      <c r="O239" s="518">
        <f t="shared" si="40"/>
        <v>22636.1</v>
      </c>
      <c r="P239" s="1005">
        <f t="shared" si="38"/>
        <v>0</v>
      </c>
      <c r="Q239" s="1582"/>
      <c r="R239" s="1582"/>
      <c r="S239" s="1582"/>
      <c r="T239" s="1582"/>
      <c r="U239" s="1583"/>
      <c r="V239" s="8"/>
      <c r="W239" s="8"/>
      <c r="X239" s="8"/>
      <c r="Y239" s="8"/>
      <c r="Z239" s="8"/>
      <c r="AA239" s="8"/>
      <c r="AB239" s="8"/>
      <c r="AC239" s="8"/>
      <c r="AD239" s="8"/>
      <c r="AE239" s="8"/>
      <c r="AF239" s="8"/>
      <c r="AG239" s="8"/>
      <c r="AH239" s="8"/>
      <c r="AI239" s="8"/>
      <c r="AJ239" s="8"/>
      <c r="AK239" s="8"/>
      <c r="AL239" s="8"/>
      <c r="AM239" s="8"/>
      <c r="AN239" s="8"/>
      <c r="AO239" s="8"/>
      <c r="AP239" s="8"/>
      <c r="AQ239" s="8"/>
      <c r="AR239" s="8"/>
      <c r="AS239" s="8"/>
      <c r="AT239" s="8"/>
      <c r="AU239" s="8"/>
      <c r="AV239" s="8"/>
      <c r="AW239" s="8"/>
      <c r="AX239" s="8"/>
    </row>
    <row r="240" spans="1:53" s="10" customFormat="1" ht="16.5" customHeight="1" x14ac:dyDescent="0.2">
      <c r="A240" s="608"/>
      <c r="B240" s="395"/>
      <c r="C240" s="395"/>
      <c r="D240" s="395"/>
      <c r="E240" s="395"/>
      <c r="F240" s="395"/>
      <c r="G240" s="395"/>
      <c r="H240" s="395"/>
      <c r="I240" s="395"/>
      <c r="J240" s="395"/>
      <c r="K240" s="395"/>
      <c r="L240" s="395"/>
      <c r="M240" s="395"/>
      <c r="N240" s="395"/>
      <c r="O240" s="395"/>
      <c r="P240" s="395"/>
      <c r="Q240" s="395"/>
      <c r="R240" s="608"/>
      <c r="S240" s="608"/>
      <c r="T240" s="608"/>
      <c r="U240" s="608"/>
    </row>
    <row r="241" spans="1:50" s="10" customFormat="1" ht="17.25" customHeight="1" x14ac:dyDescent="0.2">
      <c r="A241" s="608"/>
      <c r="B241" s="541"/>
      <c r="C241" s="541"/>
      <c r="D241" s="541"/>
      <c r="E241" s="541"/>
      <c r="F241" s="541"/>
      <c r="G241" s="541"/>
      <c r="H241" s="541"/>
      <c r="I241" s="541"/>
      <c r="J241" s="541"/>
      <c r="K241" s="541"/>
      <c r="L241" s="541"/>
      <c r="M241" s="541"/>
      <c r="N241" s="541"/>
      <c r="O241" s="541"/>
      <c r="P241" s="541"/>
      <c r="Q241" s="541"/>
      <c r="R241" s="608"/>
      <c r="S241" s="608"/>
      <c r="T241" s="608"/>
      <c r="U241" s="608"/>
    </row>
    <row r="242" spans="1:50" s="11" customFormat="1" ht="14.25" customHeight="1" thickBot="1" x14ac:dyDescent="0.25">
      <c r="A242" s="1551" t="s">
        <v>13</v>
      </c>
      <c r="B242" s="1551"/>
      <c r="C242" s="1551"/>
      <c r="D242" s="1551"/>
      <c r="E242" s="1551"/>
      <c r="F242" s="1551"/>
      <c r="G242" s="1551"/>
      <c r="H242" s="942"/>
      <c r="I242" s="942"/>
      <c r="J242" s="942"/>
      <c r="K242" s="942"/>
      <c r="L242" s="942"/>
      <c r="M242" s="942"/>
      <c r="N242" s="942"/>
      <c r="O242" s="942"/>
      <c r="P242" s="942"/>
      <c r="Q242" s="18"/>
      <c r="R242" s="18"/>
      <c r="S242" s="18"/>
      <c r="T242" s="18"/>
      <c r="U242" s="18"/>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c r="AU242" s="10"/>
      <c r="AV242" s="10"/>
      <c r="AW242" s="10"/>
      <c r="AX242" s="10"/>
    </row>
    <row r="243" spans="1:50" ht="69" customHeight="1" thickBot="1" x14ac:dyDescent="0.25">
      <c r="A243" s="1552" t="s">
        <v>10</v>
      </c>
      <c r="B243" s="1553"/>
      <c r="C243" s="1553"/>
      <c r="D243" s="1553"/>
      <c r="E243" s="1553"/>
      <c r="F243" s="1553"/>
      <c r="G243" s="1554"/>
      <c r="H243" s="1006" t="s">
        <v>231</v>
      </c>
      <c r="I243" s="1007" t="s">
        <v>357</v>
      </c>
      <c r="J243" s="1008" t="s">
        <v>219</v>
      </c>
      <c r="K243" s="1009" t="s">
        <v>162</v>
      </c>
      <c r="L243" s="1007" t="s">
        <v>220</v>
      </c>
      <c r="M243" s="1008" t="s">
        <v>219</v>
      </c>
      <c r="N243" s="1009" t="s">
        <v>224</v>
      </c>
      <c r="O243" s="1007" t="s">
        <v>356</v>
      </c>
      <c r="P243" s="1008" t="s">
        <v>219</v>
      </c>
      <c r="Q243" s="2"/>
      <c r="R243" s="2"/>
      <c r="S243" s="2"/>
      <c r="T243" s="2"/>
      <c r="U243" s="2"/>
      <c r="V243" s="8"/>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row>
    <row r="244" spans="1:50" ht="14.25" customHeight="1" x14ac:dyDescent="0.2">
      <c r="A244" s="1555" t="s">
        <v>14</v>
      </c>
      <c r="B244" s="1556"/>
      <c r="C244" s="1556"/>
      <c r="D244" s="1556"/>
      <c r="E244" s="1556"/>
      <c r="F244" s="1556"/>
      <c r="G244" s="1557"/>
      <c r="H244" s="519">
        <f t="shared" ref="H244:P244" si="41">H245+H254+H255+H256+H253</f>
        <v>13837</v>
      </c>
      <c r="I244" s="531">
        <f t="shared" si="41"/>
        <v>11907.2</v>
      </c>
      <c r="J244" s="522">
        <f t="shared" si="41"/>
        <v>-1929.8</v>
      </c>
      <c r="K244" s="519">
        <f t="shared" si="41"/>
        <v>17567.900000000001</v>
      </c>
      <c r="L244" s="531">
        <f t="shared" si="41"/>
        <v>19389.3</v>
      </c>
      <c r="M244" s="522">
        <f t="shared" si="41"/>
        <v>1821.4</v>
      </c>
      <c r="N244" s="519">
        <f t="shared" si="41"/>
        <v>16369.6</v>
      </c>
      <c r="O244" s="531">
        <f t="shared" si="41"/>
        <v>16369.6</v>
      </c>
      <c r="P244" s="522">
        <f t="shared" si="41"/>
        <v>0</v>
      </c>
      <c r="V244" s="8"/>
      <c r="W244" s="8"/>
      <c r="X244" s="8"/>
      <c r="Y244" s="8"/>
      <c r="Z244" s="8"/>
      <c r="AA244" s="8"/>
      <c r="AB244" s="8"/>
      <c r="AC244" s="8"/>
      <c r="AD244" s="8"/>
      <c r="AE244" s="8"/>
      <c r="AF244" s="8"/>
      <c r="AG244" s="8"/>
      <c r="AH244" s="8"/>
      <c r="AI244" s="8"/>
      <c r="AJ244" s="8"/>
      <c r="AK244" s="8"/>
      <c r="AL244" s="8"/>
      <c r="AM244" s="8"/>
      <c r="AN244" s="8"/>
      <c r="AO244" s="8"/>
      <c r="AP244" s="8"/>
      <c r="AQ244" s="8"/>
      <c r="AR244" s="8"/>
      <c r="AS244" s="8"/>
      <c r="AT244" s="8"/>
      <c r="AU244" s="8"/>
      <c r="AV244" s="8"/>
      <c r="AW244" s="8"/>
      <c r="AX244" s="8"/>
    </row>
    <row r="245" spans="1:50" ht="14.25" customHeight="1" x14ac:dyDescent="0.2">
      <c r="A245" s="1558" t="s">
        <v>88</v>
      </c>
      <c r="B245" s="1559"/>
      <c r="C245" s="1559"/>
      <c r="D245" s="1559"/>
      <c r="E245" s="1559"/>
      <c r="F245" s="1559"/>
      <c r="G245" s="1560"/>
      <c r="H245" s="543">
        <f t="shared" ref="H245:P245" si="42">SUM(H246:H252)</f>
        <v>11031.4</v>
      </c>
      <c r="I245" s="527">
        <f t="shared" si="42"/>
        <v>9101.6</v>
      </c>
      <c r="J245" s="523">
        <f t="shared" si="42"/>
        <v>-1929.8</v>
      </c>
      <c r="K245" s="543">
        <f t="shared" si="42"/>
        <v>17567.900000000001</v>
      </c>
      <c r="L245" s="527">
        <f t="shared" si="42"/>
        <v>19389.3</v>
      </c>
      <c r="M245" s="523">
        <f t="shared" si="42"/>
        <v>1821.4</v>
      </c>
      <c r="N245" s="543">
        <f t="shared" si="42"/>
        <v>16369.6</v>
      </c>
      <c r="O245" s="527">
        <f t="shared" si="42"/>
        <v>16369.6</v>
      </c>
      <c r="P245" s="523">
        <f t="shared" si="42"/>
        <v>0</v>
      </c>
      <c r="Q245" s="299"/>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row>
    <row r="246" spans="1:50" ht="14.25" customHeight="1" x14ac:dyDescent="0.2">
      <c r="A246" s="1561" t="s">
        <v>18</v>
      </c>
      <c r="B246" s="1562"/>
      <c r="C246" s="1562"/>
      <c r="D246" s="1562"/>
      <c r="E246" s="1562"/>
      <c r="F246" s="1562"/>
      <c r="G246" s="1563"/>
      <c r="H246" s="613">
        <f>SUMIF(G10:G239,"SB",H10:H239)</f>
        <v>9243.1</v>
      </c>
      <c r="I246" s="614">
        <f>SUMIF(G10:G239,"SB",I10:I239)</f>
        <v>9056.6</v>
      </c>
      <c r="J246" s="152">
        <f>SUMIF(G10:G239,"SB",J10:J239)</f>
        <v>-186.5</v>
      </c>
      <c r="K246" s="613">
        <f>SUMIF(G10:G239,"SB",K10:K239)</f>
        <v>12996</v>
      </c>
      <c r="L246" s="614">
        <f>SUMIF(G10:G239,"SB",L10:L239)</f>
        <v>13074.1</v>
      </c>
      <c r="M246" s="152">
        <f>SUMIF(G10:G239,"SB",M10:M239)</f>
        <v>78.099999999999994</v>
      </c>
      <c r="N246" s="613">
        <f>SUMIF(G10:G239,"SB",N10:N239)</f>
        <v>13304.2</v>
      </c>
      <c r="O246" s="614">
        <f>SUMIF(G10:G239,"SB",O10:O239)</f>
        <v>13304.2</v>
      </c>
      <c r="P246" s="152">
        <f>SUMIF(G10:G239,"SB",P10:P239)</f>
        <v>0</v>
      </c>
      <c r="Q246" s="14"/>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row>
    <row r="247" spans="1:50" ht="14.25" customHeight="1" x14ac:dyDescent="0.2">
      <c r="A247" s="1542" t="s">
        <v>19</v>
      </c>
      <c r="B247" s="1543"/>
      <c r="C247" s="1543"/>
      <c r="D247" s="1543"/>
      <c r="E247" s="1543"/>
      <c r="F247" s="1543"/>
      <c r="G247" s="1544"/>
      <c r="H247" s="415">
        <f>SUMIF(G12:G239,"SB(SP)",H12:H239)</f>
        <v>34.700000000000003</v>
      </c>
      <c r="I247" s="532">
        <f>SUMIF(G12:G239,"SB(SP)",I12:I239)</f>
        <v>34.700000000000003</v>
      </c>
      <c r="J247" s="524">
        <f>SUMIF(G12:G239,"SB(SP)",J12:J239)</f>
        <v>0</v>
      </c>
      <c r="K247" s="415">
        <f>SUMIF(G17:G239,"SB(SP)",K17:K239)</f>
        <v>34.700000000000003</v>
      </c>
      <c r="L247" s="532">
        <f>SUMIF(G17:G239,"SB(SP)",L17:L239)</f>
        <v>34.700000000000003</v>
      </c>
      <c r="M247" s="524">
        <f>SUMIF(G17:G239,"SB(SP)",M17:M239)</f>
        <v>0</v>
      </c>
      <c r="N247" s="415">
        <f>SUMIF(G17:G239,"SB(SP)",N17:N239)</f>
        <v>34.700000000000003</v>
      </c>
      <c r="O247" s="532">
        <f>SUMIF(G17:G239,"SB(SP)",O17:O239)</f>
        <v>34.700000000000003</v>
      </c>
      <c r="P247" s="524">
        <f>SUMIF(G17:G239,"SB(SP)",P17:P239)</f>
        <v>0</v>
      </c>
      <c r="Q247" s="19"/>
    </row>
    <row r="248" spans="1:50" ht="12.75" customHeight="1" x14ac:dyDescent="0.2">
      <c r="A248" s="1542" t="s">
        <v>66</v>
      </c>
      <c r="B248" s="1543"/>
      <c r="C248" s="1543"/>
      <c r="D248" s="1543"/>
      <c r="E248" s="1543"/>
      <c r="F248" s="1543"/>
      <c r="G248" s="1544"/>
      <c r="H248" s="415">
        <f>SUMIF(G12:G239,"SB(VR)",H12:H239)</f>
        <v>0</v>
      </c>
      <c r="I248" s="532">
        <f>SUMIF(G12:G239,"SB(VR)",I12:I239)</f>
        <v>0</v>
      </c>
      <c r="J248" s="524">
        <f>SUMIF(G12:G239,"SB(VR)",J12:J239)</f>
        <v>0</v>
      </c>
      <c r="K248" s="415">
        <f>SUMIF(G12:G239,"SB(VR)",K12:K239)</f>
        <v>0</v>
      </c>
      <c r="L248" s="532">
        <f>SUMIF(G12:G239,"SB(VR)",L12:L239)</f>
        <v>0</v>
      </c>
      <c r="M248" s="524">
        <f>SUMIF(G12:G239,"SB(VR)",M12:M239)</f>
        <v>0</v>
      </c>
      <c r="N248" s="415">
        <f>SUMIF(G12:G239,"SB(VR)",N12:N239)</f>
        <v>0</v>
      </c>
      <c r="O248" s="532">
        <f>SUMIF(G12:G239,"SB(VR)",O12:O239)</f>
        <v>0</v>
      </c>
      <c r="P248" s="524">
        <f>SUMIF(G12:G239,"SB(VR)",P12:P239)</f>
        <v>0</v>
      </c>
      <c r="Q248" s="16"/>
      <c r="R248" s="1"/>
      <c r="S248" s="1"/>
      <c r="T248" s="1"/>
      <c r="U248" s="1"/>
    </row>
    <row r="249" spans="1:50" x14ac:dyDescent="0.2">
      <c r="A249" s="1542" t="s">
        <v>20</v>
      </c>
      <c r="B249" s="1543"/>
      <c r="C249" s="1543"/>
      <c r="D249" s="1543"/>
      <c r="E249" s="1543"/>
      <c r="F249" s="1543"/>
      <c r="G249" s="1544"/>
      <c r="H249" s="415">
        <f>SUMIF(G12:G239,"SB(P)",H12:H239)</f>
        <v>0</v>
      </c>
      <c r="I249" s="532">
        <f>SUMIF(G12:G239,"SB(P)",I12:I239)</f>
        <v>0</v>
      </c>
      <c r="J249" s="524">
        <f>SUMIF(G12:G239,"SB(P)",J12:J239)</f>
        <v>0</v>
      </c>
      <c r="K249" s="415">
        <f>SUMIF(G12:G239,"SB(P)",K12:K239)</f>
        <v>0</v>
      </c>
      <c r="L249" s="532">
        <f>SUMIF(G12:G239,"SB(P)",L12:L239)</f>
        <v>0</v>
      </c>
      <c r="M249" s="524">
        <f>SUMIF(G12:G239,"SB(P)",M12:M239)</f>
        <v>0</v>
      </c>
      <c r="N249" s="415">
        <f>SUMIF(G12:G239,"SB(P)",N12:N239)</f>
        <v>0</v>
      </c>
      <c r="O249" s="532">
        <f>SUMIF(G12:G239,"SB(P)",O12:O239)</f>
        <v>0</v>
      </c>
      <c r="P249" s="524">
        <f>SUMIF(G12:G239,"SB(P)",P12:P239)</f>
        <v>0</v>
      </c>
      <c r="Q249" s="16"/>
      <c r="R249" s="1"/>
      <c r="S249" s="1"/>
      <c r="T249" s="1"/>
      <c r="U249" s="1"/>
    </row>
    <row r="250" spans="1:50" x14ac:dyDescent="0.2">
      <c r="A250" s="1542" t="s">
        <v>91</v>
      </c>
      <c r="B250" s="1543"/>
      <c r="C250" s="1543"/>
      <c r="D250" s="1543"/>
      <c r="E250" s="1543"/>
      <c r="F250" s="1543"/>
      <c r="G250" s="1544"/>
      <c r="H250" s="415">
        <f>SUMIF(G13:G239,"SB(VB)",H13:H239)</f>
        <v>142.1</v>
      </c>
      <c r="I250" s="532">
        <f>SUMIF(G13:G239,"SB(VB)",I13:I239)</f>
        <v>0.9</v>
      </c>
      <c r="J250" s="524">
        <f>SUMIF(G13:G239,"SB(VB)",J13:J239)</f>
        <v>-141.19999999999999</v>
      </c>
      <c r="K250" s="415">
        <f>SUMIF(G14:G239,"SB(VB)",K14:K239)</f>
        <v>368</v>
      </c>
      <c r="L250" s="532">
        <f>SUMIF(G14:G239,"SB(VB)",L14:L239)</f>
        <v>509.2</v>
      </c>
      <c r="M250" s="524">
        <f>SUMIF(G14:G239,"SB(VB)",M14:M239)</f>
        <v>141.19999999999999</v>
      </c>
      <c r="N250" s="415">
        <f>SUMIF(G14:G239,"SB(VB)",N14:N239)</f>
        <v>245.8</v>
      </c>
      <c r="O250" s="532">
        <f>SUMIF(G14:G239,"SB(VB)",O14:O239)</f>
        <v>245.8</v>
      </c>
      <c r="P250" s="524">
        <f>SUMIF(G14:G239,"SB(VB)",P14:P239)</f>
        <v>0</v>
      </c>
    </row>
    <row r="251" spans="1:50" x14ac:dyDescent="0.2">
      <c r="A251" s="1545" t="s">
        <v>168</v>
      </c>
      <c r="B251" s="1546"/>
      <c r="C251" s="1546"/>
      <c r="D251" s="1546"/>
      <c r="E251" s="1546"/>
      <c r="F251" s="1546"/>
      <c r="G251" s="1547"/>
      <c r="H251" s="415">
        <f>SUMIF(G12:G239,"SB(KPP)",H12:H239)</f>
        <v>0</v>
      </c>
      <c r="I251" s="532">
        <f>SUMIF(G12:G239,"SB(KPP)",I12:I239)</f>
        <v>0</v>
      </c>
      <c r="J251" s="524">
        <f>SUMIF(G12:G239,"SB(KPP)",J12:J239)</f>
        <v>0</v>
      </c>
      <c r="K251" s="415">
        <f>SUMIF(G15:G236,"SB(KPP)",K15:K236)</f>
        <v>0</v>
      </c>
      <c r="L251" s="532">
        <f>SUMIF(G15:G236,"SB(KPP)",L15:L236)</f>
        <v>0</v>
      </c>
      <c r="M251" s="524">
        <f>SUMIF(G15:G233,"SB(KPP)",M15:M233)</f>
        <v>0</v>
      </c>
      <c r="N251" s="415">
        <f>SUMIF(G15:G233,"SB(KPP)",N15:N233)</f>
        <v>0</v>
      </c>
      <c r="O251" s="532">
        <f>SUMIF(G15:G233,"SB(KPP)",O15:O233)</f>
        <v>0</v>
      </c>
      <c r="P251" s="524">
        <f>SUMIF(G15:G233,"SB(KPP)",P15:P233)</f>
        <v>0</v>
      </c>
      <c r="Q251" s="46"/>
      <c r="R251" s="46"/>
      <c r="S251" s="46"/>
      <c r="T251" s="46"/>
      <c r="U251" s="46"/>
    </row>
    <row r="252" spans="1:50" ht="25.5" customHeight="1" x14ac:dyDescent="0.2">
      <c r="A252" s="1548" t="s">
        <v>217</v>
      </c>
      <c r="B252" s="1549"/>
      <c r="C252" s="1549"/>
      <c r="D252" s="1549"/>
      <c r="E252" s="1549"/>
      <c r="F252" s="1549"/>
      <c r="G252" s="1550"/>
      <c r="H252" s="415">
        <f>SUMIF(G12:G237,"SB(ES)",H12:H237)</f>
        <v>1611.5</v>
      </c>
      <c r="I252" s="1018">
        <f>SUMIF(G12:G237,"SB(ES)",I12:I237)</f>
        <v>9.4</v>
      </c>
      <c r="J252" s="1017">
        <f>SUMIF(G12:G237,"SB(ES)",J12:J237)</f>
        <v>-1602.1</v>
      </c>
      <c r="K252" s="415">
        <f>SUMIF(G15:G238,"SB(ES)",K15:K238)</f>
        <v>4169.2</v>
      </c>
      <c r="L252" s="532">
        <f>SUMIF(G15:G238,"SB(ES)",L15:L238)</f>
        <v>5771.3</v>
      </c>
      <c r="M252" s="524">
        <f>SUMIF(G15:G238,"SB(ES)",M15:M238)</f>
        <v>1602.1</v>
      </c>
      <c r="N252" s="415">
        <f>SUMIF(G15:G238,"SB(ES)",N15:N238)</f>
        <v>2784.9</v>
      </c>
      <c r="O252" s="532">
        <f>SUMIF(G15:G238,"SB(ES)",O15:O238)</f>
        <v>2784.9</v>
      </c>
      <c r="P252" s="524">
        <f>SUMIF(G15:G238,"SB(ES)",P15:P238)</f>
        <v>0</v>
      </c>
    </row>
    <row r="253" spans="1:50" ht="14.25" customHeight="1" x14ac:dyDescent="0.2">
      <c r="A253" s="1533" t="s">
        <v>59</v>
      </c>
      <c r="B253" s="1534"/>
      <c r="C253" s="1534"/>
      <c r="D253" s="1534"/>
      <c r="E253" s="1534"/>
      <c r="F253" s="1534"/>
      <c r="G253" s="1535"/>
      <c r="H253" s="520">
        <f>SUMIF(G12:G235,"SB(L)",H12:H235)</f>
        <v>2801.2</v>
      </c>
      <c r="I253" s="533">
        <f>SUMIF(G12:G235,"SB(L)",I12:I235)</f>
        <v>2801.2</v>
      </c>
      <c r="J253" s="1010">
        <f>SUMIF(G12:G233,"SB(L)",J12:J233)</f>
        <v>0</v>
      </c>
      <c r="K253" s="520">
        <f>SUMIF(G17:G233,"SB(L)",K17:K233)</f>
        <v>0</v>
      </c>
      <c r="L253" s="533">
        <f>SUMIF(G17:G233,"SB(L)",L17:L233)</f>
        <v>0</v>
      </c>
      <c r="M253" s="525">
        <f>SUMIF(G17:G233,"SB(L)",M17:M233)</f>
        <v>0</v>
      </c>
      <c r="N253" s="520">
        <f>SUMIF(G17:G237,"SB(L)",N17:N238)</f>
        <v>0</v>
      </c>
      <c r="O253" s="533">
        <f>SUMIF(G17:G236,"SB(L)",O17:O237)</f>
        <v>0</v>
      </c>
      <c r="P253" s="525">
        <f>SUMIF(J17:J233,"SB(L)",P17:P233)</f>
        <v>0</v>
      </c>
    </row>
    <row r="254" spans="1:50" x14ac:dyDescent="0.2">
      <c r="A254" s="1533" t="s">
        <v>89</v>
      </c>
      <c r="B254" s="1534"/>
      <c r="C254" s="1534"/>
      <c r="D254" s="1534"/>
      <c r="E254" s="1534"/>
      <c r="F254" s="1534"/>
      <c r="G254" s="1535"/>
      <c r="H254" s="539">
        <f>SUMIF(G17:G239,"SB(SPL)",H17:H239)</f>
        <v>4.4000000000000004</v>
      </c>
      <c r="I254" s="529">
        <f>SUMIF(G17:G239,"SB(SPL)",I17:I239)</f>
        <v>4.4000000000000004</v>
      </c>
      <c r="J254" s="1011">
        <f>SUMIF(G17:G239,"SB(SPL)",J17:J239)</f>
        <v>0</v>
      </c>
      <c r="K254" s="539">
        <f>SUMIF(G17:G239,"SB(SPL)",K17:K239)</f>
        <v>0</v>
      </c>
      <c r="L254" s="529">
        <f>SUMIF(G17:G239,"SB(SPL)",L17:L239)</f>
        <v>0</v>
      </c>
      <c r="M254" s="1012">
        <f>SUMIF(G17:G239,"SB(SPL)",M17:M239)</f>
        <v>0</v>
      </c>
      <c r="N254" s="539">
        <f>SUMIF(G17:G239,"SB(SPL)",N17:N239)</f>
        <v>0</v>
      </c>
      <c r="O254" s="529">
        <f>SUMIF(G17:G239,"SB(SPL)",O17:O239)</f>
        <v>0</v>
      </c>
      <c r="P254" s="1015">
        <f>SUMIF(J17:J239,"SB(SPL)",P17:P239)</f>
        <v>0</v>
      </c>
    </row>
    <row r="255" spans="1:50" x14ac:dyDescent="0.2">
      <c r="A255" s="1533" t="s">
        <v>92</v>
      </c>
      <c r="B255" s="1534"/>
      <c r="C255" s="1534"/>
      <c r="D255" s="1534"/>
      <c r="E255" s="1534"/>
      <c r="F255" s="1534"/>
      <c r="G255" s="1535"/>
      <c r="H255" s="539">
        <f>SUMIF(G12:G239,"SB(ŽPL)",H12:H239)</f>
        <v>0</v>
      </c>
      <c r="I255" s="529">
        <f>SUMIF(G12:G239,"SB(ŽPL)",I12:I239)</f>
        <v>0</v>
      </c>
      <c r="J255" s="1011">
        <f>SUMIF(G12:G239,"SB(ŽPL)",J12:J239)</f>
        <v>0</v>
      </c>
      <c r="K255" s="539">
        <f>SUMIF(G12:G239,"SB(ŽPL)",K12:K239)</f>
        <v>0</v>
      </c>
      <c r="L255" s="529">
        <f>SUMIF(G12:G239,"SB(ŽPL)",L12:L239)</f>
        <v>0</v>
      </c>
      <c r="M255" s="1012">
        <f>SUMIF(G12:G239,"SB(ŽPL)",M12:M239)</f>
        <v>0</v>
      </c>
      <c r="N255" s="539">
        <f>SUMIF(G12:G239,"SB(ŽPL)",N12:N239)</f>
        <v>0</v>
      </c>
      <c r="O255" s="529">
        <f>SUMIF(G12:G239,"SB(ŽPL)",O12:O239)</f>
        <v>0</v>
      </c>
      <c r="P255" s="1015">
        <f>SUMIF(J12:J239,"SB(ŽPL)",P12:P239)</f>
        <v>0</v>
      </c>
    </row>
    <row r="256" spans="1:50" ht="12" customHeight="1" x14ac:dyDescent="0.2">
      <c r="A256" s="1533" t="s">
        <v>90</v>
      </c>
      <c r="B256" s="1534"/>
      <c r="C256" s="1534"/>
      <c r="D256" s="1534"/>
      <c r="E256" s="1534"/>
      <c r="F256" s="1534"/>
      <c r="G256" s="1535"/>
      <c r="H256" s="520">
        <f>SUMIF(G12:G239,"SB(VRL)",H12:H239)</f>
        <v>0</v>
      </c>
      <c r="I256" s="533">
        <f>SUMIF(G12:G239,"SB(VRL)",I12:I239)</f>
        <v>0</v>
      </c>
      <c r="J256" s="525">
        <f>SUMIF(G12:G239,"SB(VRL)",J12:J239)</f>
        <v>0</v>
      </c>
      <c r="K256" s="520">
        <f>SUMIF(G17:G239,"SB(VRL)",K17:K239)</f>
        <v>0</v>
      </c>
      <c r="L256" s="533">
        <f>SUMIF(G17:G239,"SB(VRL)",L17:L239)</f>
        <v>0</v>
      </c>
      <c r="M256" s="525">
        <f>SUMIF(G17:G239,"SB(VRL)",M17:M239)</f>
        <v>0</v>
      </c>
      <c r="N256" s="520">
        <f>SUMIF(G17:G239,"SB(VRL)",N17:N239)</f>
        <v>0</v>
      </c>
      <c r="O256" s="533">
        <f>SUMIF(G17:G239,"SB(VRL)",O17:O239)</f>
        <v>0</v>
      </c>
      <c r="P256" s="525">
        <f>SUMIF(J17:J239,"SB(VRL)",P17:P239)</f>
        <v>0</v>
      </c>
    </row>
    <row r="257" spans="1:53" x14ac:dyDescent="0.2">
      <c r="A257" s="1536" t="s">
        <v>15</v>
      </c>
      <c r="B257" s="1537"/>
      <c r="C257" s="1537"/>
      <c r="D257" s="1537"/>
      <c r="E257" s="1537"/>
      <c r="F257" s="1537"/>
      <c r="G257" s="1538"/>
      <c r="H257" s="544">
        <f t="shared" ref="H257:I257" si="43">SUM(H258:H261)</f>
        <v>802.5</v>
      </c>
      <c r="I257" s="530">
        <f t="shared" si="43"/>
        <v>802.5</v>
      </c>
      <c r="J257" s="1013">
        <f t="shared" ref="J257:P257" si="44">SUM(J258:J261)</f>
        <v>0</v>
      </c>
      <c r="K257" s="544">
        <f t="shared" ref="K257:L257" si="45">SUM(K258:K261)</f>
        <v>3530.4</v>
      </c>
      <c r="L257" s="530">
        <f t="shared" si="45"/>
        <v>3530.4</v>
      </c>
      <c r="M257" s="1013">
        <f t="shared" si="44"/>
        <v>0</v>
      </c>
      <c r="N257" s="544">
        <f t="shared" ref="N257:O257" si="46">SUM(N258:N261)</f>
        <v>6266.5</v>
      </c>
      <c r="O257" s="530">
        <f t="shared" si="46"/>
        <v>6266.5</v>
      </c>
      <c r="P257" s="1016">
        <f t="shared" si="44"/>
        <v>0</v>
      </c>
    </row>
    <row r="258" spans="1:53" x14ac:dyDescent="0.2">
      <c r="A258" s="1539" t="s">
        <v>133</v>
      </c>
      <c r="B258" s="1540"/>
      <c r="C258" s="1540"/>
      <c r="D258" s="1540"/>
      <c r="E258" s="1540"/>
      <c r="F258" s="1540"/>
      <c r="G258" s="1541"/>
      <c r="H258" s="415">
        <f>SUMIF(G15:G239,"KVJUD",H15:H239)</f>
        <v>0</v>
      </c>
      <c r="I258" s="532">
        <f>SUMIF(G15:G239,"KVJUD",I15:I239)</f>
        <v>0</v>
      </c>
      <c r="J258" s="524">
        <f>SUMIF(G15:G239,"KVJUD",J15:J239)</f>
        <v>0</v>
      </c>
      <c r="K258" s="415">
        <f>SUMIF(G17:G239,"KVJUD",K15:K239)</f>
        <v>0</v>
      </c>
      <c r="L258" s="532">
        <f>SUMIF(G17:G239,"KVJUD",L15:L239)</f>
        <v>0</v>
      </c>
      <c r="M258" s="524">
        <f>SUMIF(G17:G239,"KVJUD",M15:M239)</f>
        <v>0</v>
      </c>
      <c r="N258" s="415">
        <f>SUMIF(G15:G239,"KVJUD",N15:N239)</f>
        <v>0</v>
      </c>
      <c r="O258" s="532">
        <f>SUMIF(G15:G239,"KVJUD",O15:O239)</f>
        <v>0</v>
      </c>
      <c r="P258" s="524">
        <f>SUMIF(G15:G239,"KVJUD",P15:P239)</f>
        <v>0</v>
      </c>
    </row>
    <row r="259" spans="1:53" ht="13.5" customHeight="1" x14ac:dyDescent="0.2">
      <c r="A259" s="1542" t="s">
        <v>22</v>
      </c>
      <c r="B259" s="1543"/>
      <c r="C259" s="1543"/>
      <c r="D259" s="1543"/>
      <c r="E259" s="1543"/>
      <c r="F259" s="1543"/>
      <c r="G259" s="1544"/>
      <c r="H259" s="415">
        <f>SUMIF(G12:G239,"LRVB",H12:H239)</f>
        <v>65.099999999999994</v>
      </c>
      <c r="I259" s="532">
        <f>SUMIF(G12:G239,"LRVB",I12:I239)</f>
        <v>65.099999999999994</v>
      </c>
      <c r="J259" s="524">
        <f>SUMIF(G12:G239,"LRVB",J12:J239)</f>
        <v>0</v>
      </c>
      <c r="K259" s="415">
        <f>SUMIF(G12:G239,"LRVB",K12:K239)</f>
        <v>210.3</v>
      </c>
      <c r="L259" s="532">
        <f>SUMIF(G12:G239,"LRVB",L12:L239)</f>
        <v>210.3</v>
      </c>
      <c r="M259" s="524">
        <f>SUMIF(G12:G239,"LRVB",M12:M239)</f>
        <v>0</v>
      </c>
      <c r="N259" s="415">
        <f>SUMIF(G12:G239,"LRVB",N12:N239)</f>
        <v>432.1</v>
      </c>
      <c r="O259" s="532">
        <f>SUMIF(G12:G239,"LRVB",O12:O239)</f>
        <v>432.1</v>
      </c>
      <c r="P259" s="524">
        <f>SUMIF(G12:G239,"LRVB",P12:P239)</f>
        <v>0</v>
      </c>
    </row>
    <row r="260" spans="1:53" ht="14.25" customHeight="1" x14ac:dyDescent="0.2">
      <c r="A260" s="1548" t="s">
        <v>21</v>
      </c>
      <c r="B260" s="1549"/>
      <c r="C260" s="1549"/>
      <c r="D260" s="1549"/>
      <c r="E260" s="1549"/>
      <c r="F260" s="1549"/>
      <c r="G260" s="1550"/>
      <c r="H260" s="540">
        <f>SUMIF(G17:G237,"ES",H17:H237)</f>
        <v>737.4</v>
      </c>
      <c r="I260" s="528">
        <f>SUMIF(G17:G237,"ES",I17:I237)</f>
        <v>737.4</v>
      </c>
      <c r="J260" s="1014">
        <f>SUMIF(G17:G237,"ES",J17:J237)</f>
        <v>0</v>
      </c>
      <c r="K260" s="540">
        <f>SUMIF(G17:G233,"ES",K17:K233)</f>
        <v>2382.8000000000002</v>
      </c>
      <c r="L260" s="528">
        <f>SUMIF(G17:G233,"ES",L17:L233)</f>
        <v>2382.8000000000002</v>
      </c>
      <c r="M260" s="1014">
        <f>SUMIF(G17:G233,"ES",M17:M233)</f>
        <v>0</v>
      </c>
      <c r="N260" s="540">
        <f>SUMIF(G17:G236,"ES",N17:N237)</f>
        <v>4897.1000000000004</v>
      </c>
      <c r="O260" s="528">
        <f>SUMIF(G17:G236,"ES",O17:O236)</f>
        <v>4897.1000000000004</v>
      </c>
      <c r="P260" s="1014">
        <f>SUMIF(G17:G233,"ES",P17:P233)</f>
        <v>0</v>
      </c>
    </row>
    <row r="261" spans="1:53" ht="15.75" customHeight="1" x14ac:dyDescent="0.2">
      <c r="A261" s="1542" t="s">
        <v>23</v>
      </c>
      <c r="B261" s="1543"/>
      <c r="C261" s="1543"/>
      <c r="D261" s="1543"/>
      <c r="E261" s="1543"/>
      <c r="F261" s="1543"/>
      <c r="G261" s="1544"/>
      <c r="H261" s="415">
        <f>SUMIF(G12:G239,"Kt",H12:H239)</f>
        <v>0</v>
      </c>
      <c r="I261" s="532">
        <f>SUMIF(G12:G239,"Kt",I12:I239)</f>
        <v>0</v>
      </c>
      <c r="J261" s="524">
        <f>SUMIF(G12:G239,"Kt",J12:J239)</f>
        <v>0</v>
      </c>
      <c r="K261" s="415">
        <f>SUMIF(G12:G239,"Kt",K12:K239)</f>
        <v>937.3</v>
      </c>
      <c r="L261" s="532">
        <f>SUMIF(G12:G239,"Kt",L12:L239)</f>
        <v>937.3</v>
      </c>
      <c r="M261" s="524">
        <f>SUMIF(G12:G239,"Kt",M12:M239)</f>
        <v>0</v>
      </c>
      <c r="N261" s="415">
        <f>SUMIF(G12:G239,"Kt",N12:N239)</f>
        <v>937.3</v>
      </c>
      <c r="O261" s="532">
        <f>SUMIF(G12:G239,"Kt",O12:O239)</f>
        <v>937.3</v>
      </c>
      <c r="P261" s="524">
        <f>SUMIF(G12:G239,"Kt",P12:P239)</f>
        <v>0</v>
      </c>
    </row>
    <row r="262" spans="1:53" s="8" customFormat="1" ht="15" customHeight="1" thickBot="1" x14ac:dyDescent="0.25">
      <c r="A262" s="1574" t="s">
        <v>16</v>
      </c>
      <c r="B262" s="1575"/>
      <c r="C262" s="1575"/>
      <c r="D262" s="1575"/>
      <c r="E262" s="1575"/>
      <c r="F262" s="1575"/>
      <c r="G262" s="1576"/>
      <c r="H262" s="521">
        <f t="shared" ref="H262:P262" si="47">SUM(H244,H257)</f>
        <v>14639.5</v>
      </c>
      <c r="I262" s="534">
        <f t="shared" si="47"/>
        <v>12709.7</v>
      </c>
      <c r="J262" s="526">
        <f t="shared" si="47"/>
        <v>-1929.8</v>
      </c>
      <c r="K262" s="521">
        <f t="shared" si="47"/>
        <v>21098.3</v>
      </c>
      <c r="L262" s="534">
        <f t="shared" si="47"/>
        <v>22919.7</v>
      </c>
      <c r="M262" s="526">
        <f t="shared" si="47"/>
        <v>1821.4</v>
      </c>
      <c r="N262" s="521">
        <f t="shared" si="47"/>
        <v>22636.1</v>
      </c>
      <c r="O262" s="534">
        <f t="shared" si="47"/>
        <v>22636.1</v>
      </c>
      <c r="P262" s="526">
        <f t="shared" si="47"/>
        <v>0</v>
      </c>
      <c r="Q262" s="5"/>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row>
    <row r="263" spans="1:53" s="8" customFormat="1" x14ac:dyDescent="0.2">
      <c r="A263" s="5"/>
      <c r="B263" s="5"/>
      <c r="C263" s="5"/>
      <c r="D263" s="5"/>
      <c r="E263" s="13"/>
      <c r="F263" s="941"/>
      <c r="G263" s="20"/>
      <c r="H263" s="10"/>
      <c r="I263" s="10"/>
      <c r="J263" s="10"/>
      <c r="K263" s="10"/>
      <c r="L263" s="10"/>
      <c r="M263" s="10"/>
      <c r="N263" s="10"/>
      <c r="O263" s="10"/>
      <c r="P263" s="10"/>
      <c r="Q263" s="10"/>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row>
    <row r="264" spans="1:53" s="8" customFormat="1" x14ac:dyDescent="0.2">
      <c r="A264" s="5"/>
      <c r="B264" s="5"/>
      <c r="C264" s="5"/>
      <c r="D264" s="5"/>
      <c r="E264" s="1365" t="s">
        <v>328</v>
      </c>
      <c r="F264" s="1365"/>
      <c r="G264" s="1365"/>
      <c r="H264" s="1365"/>
      <c r="I264" s="1365"/>
      <c r="J264" s="1365"/>
      <c r="K264" s="1365"/>
      <c r="L264" s="1365"/>
      <c r="M264" s="1365"/>
      <c r="N264" s="1365"/>
      <c r="O264" s="1365"/>
      <c r="P264" s="1365"/>
      <c r="Q264" s="62"/>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row>
    <row r="265" spans="1:53" s="8" customFormat="1" x14ac:dyDescent="0.2">
      <c r="A265" s="5"/>
      <c r="B265" s="5"/>
      <c r="C265" s="5"/>
      <c r="D265" s="5"/>
      <c r="E265" s="13"/>
      <c r="F265" s="941"/>
      <c r="G265" s="20"/>
      <c r="H265" s="643"/>
      <c r="I265" s="643"/>
      <c r="J265" s="643"/>
      <c r="K265" s="643"/>
      <c r="L265" s="643"/>
      <c r="M265" s="643"/>
      <c r="N265" s="643"/>
      <c r="O265" s="643"/>
      <c r="P265" s="643"/>
      <c r="Q265" s="10"/>
      <c r="R265" s="10"/>
      <c r="S265" s="10"/>
      <c r="T265" s="10"/>
      <c r="U265" s="10"/>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row>
    <row r="266" spans="1:53" s="8" customFormat="1" x14ac:dyDescent="0.2">
      <c r="A266" s="5"/>
      <c r="B266" s="5"/>
      <c r="C266" s="5"/>
      <c r="D266" s="5"/>
      <c r="E266" s="13"/>
      <c r="F266" s="941"/>
      <c r="G266" s="20"/>
      <c r="H266" s="15"/>
      <c r="I266" s="15"/>
      <c r="J266" s="15"/>
      <c r="K266" s="15"/>
      <c r="L266" s="15"/>
      <c r="M266" s="15"/>
      <c r="N266" s="15"/>
      <c r="O266" s="15"/>
      <c r="P266" s="15"/>
      <c r="Q266" s="5"/>
      <c r="R266" s="5"/>
      <c r="S266" s="5"/>
      <c r="T266" s="5"/>
      <c r="U266" s="5"/>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row>
    <row r="267" spans="1:53" s="8" customFormat="1" x14ac:dyDescent="0.2">
      <c r="A267" s="5"/>
      <c r="B267" s="5"/>
      <c r="C267" s="5"/>
      <c r="D267" s="5"/>
      <c r="E267" s="13"/>
      <c r="F267" s="941"/>
      <c r="G267" s="20"/>
      <c r="H267" s="15"/>
      <c r="I267" s="15"/>
      <c r="J267" s="15"/>
      <c r="K267" s="5"/>
      <c r="L267" s="5"/>
      <c r="M267" s="5"/>
      <c r="N267" s="5"/>
      <c r="O267" s="5"/>
      <c r="P267" s="5"/>
      <c r="Q267" s="5"/>
      <c r="R267" s="5"/>
      <c r="S267" s="5"/>
      <c r="T267" s="5"/>
      <c r="U267" s="5"/>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row>
    <row r="268" spans="1:53" s="8" customFormat="1" x14ac:dyDescent="0.2">
      <c r="A268" s="5"/>
      <c r="B268" s="5"/>
      <c r="C268" s="5"/>
      <c r="D268" s="5"/>
      <c r="E268" s="13"/>
      <c r="F268" s="941"/>
      <c r="G268" s="20"/>
      <c r="H268" s="46"/>
      <c r="I268" s="46"/>
      <c r="J268" s="46"/>
      <c r="K268" s="46"/>
      <c r="L268" s="46"/>
      <c r="M268" s="46"/>
      <c r="N268" s="46"/>
      <c r="O268" s="46"/>
      <c r="P268" s="46"/>
      <c r="Q268" s="5"/>
      <c r="R268" s="5"/>
      <c r="S268" s="5"/>
      <c r="T268" s="5"/>
      <c r="U268" s="5"/>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row>
  </sheetData>
  <mergeCells count="232">
    <mergeCell ref="U228:U230"/>
    <mergeCell ref="U28:U35"/>
    <mergeCell ref="D234:D236"/>
    <mergeCell ref="C237:G237"/>
    <mergeCell ref="U157:U159"/>
    <mergeCell ref="U163:U165"/>
    <mergeCell ref="U77:U81"/>
    <mergeCell ref="U114:U118"/>
    <mergeCell ref="C194:G194"/>
    <mergeCell ref="C195:S195"/>
    <mergeCell ref="D196:D197"/>
    <mergeCell ref="D198:D199"/>
    <mergeCell ref="D201:D202"/>
    <mergeCell ref="Q201:Q202"/>
    <mergeCell ref="C176:G176"/>
    <mergeCell ref="C177:U177"/>
    <mergeCell ref="D178:D179"/>
    <mergeCell ref="D180:D182"/>
    <mergeCell ref="D183:D187"/>
    <mergeCell ref="Q183:Q184"/>
    <mergeCell ref="Q164:Q165"/>
    <mergeCell ref="D209:D213"/>
    <mergeCell ref="C226:G226"/>
    <mergeCell ref="C227:J227"/>
    <mergeCell ref="A228:A229"/>
    <mergeCell ref="B228:B229"/>
    <mergeCell ref="C228:C229"/>
    <mergeCell ref="D228:D229"/>
    <mergeCell ref="E228:E229"/>
    <mergeCell ref="D231:D233"/>
    <mergeCell ref="A204:A205"/>
    <mergeCell ref="B204:B205"/>
    <mergeCell ref="C204:C205"/>
    <mergeCell ref="D204:D205"/>
    <mergeCell ref="E204:E205"/>
    <mergeCell ref="A206:A208"/>
    <mergeCell ref="B206:B208"/>
    <mergeCell ref="C206:C208"/>
    <mergeCell ref="D206:D208"/>
    <mergeCell ref="E206:E208"/>
    <mergeCell ref="A253:G253"/>
    <mergeCell ref="A242:G242"/>
    <mergeCell ref="A243:G243"/>
    <mergeCell ref="A244:G244"/>
    <mergeCell ref="A245:G245"/>
    <mergeCell ref="A246:G246"/>
    <mergeCell ref="A247:G247"/>
    <mergeCell ref="B238:G238"/>
    <mergeCell ref="Q238:U238"/>
    <mergeCell ref="B239:G239"/>
    <mergeCell ref="Q239:U239"/>
    <mergeCell ref="A252:G252"/>
    <mergeCell ref="A250:G250"/>
    <mergeCell ref="A251:G251"/>
    <mergeCell ref="A248:G248"/>
    <mergeCell ref="A249:G249"/>
    <mergeCell ref="A261:G261"/>
    <mergeCell ref="A262:G262"/>
    <mergeCell ref="E264:P264"/>
    <mergeCell ref="A254:G254"/>
    <mergeCell ref="A255:G255"/>
    <mergeCell ref="A256:G256"/>
    <mergeCell ref="A257:G257"/>
    <mergeCell ref="A258:G258"/>
    <mergeCell ref="A259:G259"/>
    <mergeCell ref="A260:G260"/>
    <mergeCell ref="Q141:Q146"/>
    <mergeCell ref="D148:D150"/>
    <mergeCell ref="E148:E150"/>
    <mergeCell ref="F148:F150"/>
    <mergeCell ref="Q149:Q150"/>
    <mergeCell ref="E166:E169"/>
    <mergeCell ref="D169:D170"/>
    <mergeCell ref="Q169:Q170"/>
    <mergeCell ref="D173:D174"/>
    <mergeCell ref="E173:E174"/>
    <mergeCell ref="F173:F174"/>
    <mergeCell ref="D157:D159"/>
    <mergeCell ref="E157:E159"/>
    <mergeCell ref="Q158:Q159"/>
    <mergeCell ref="F159:F161"/>
    <mergeCell ref="D160:D162"/>
    <mergeCell ref="E160:E162"/>
    <mergeCell ref="Q161:Q162"/>
    <mergeCell ref="F162:F164"/>
    <mergeCell ref="D163:D165"/>
    <mergeCell ref="E163:E165"/>
    <mergeCell ref="D166:D167"/>
    <mergeCell ref="D151:D153"/>
    <mergeCell ref="E151:E153"/>
    <mergeCell ref="A138:A140"/>
    <mergeCell ref="B138:B140"/>
    <mergeCell ref="C138:C140"/>
    <mergeCell ref="D138:D140"/>
    <mergeCell ref="E138:E140"/>
    <mergeCell ref="F138:F140"/>
    <mergeCell ref="D118:D121"/>
    <mergeCell ref="D122:D123"/>
    <mergeCell ref="C124:C127"/>
    <mergeCell ref="C128:C131"/>
    <mergeCell ref="A135:A137"/>
    <mergeCell ref="B135:B137"/>
    <mergeCell ref="C135:C137"/>
    <mergeCell ref="D135:D137"/>
    <mergeCell ref="A114:A115"/>
    <mergeCell ref="B114:B115"/>
    <mergeCell ref="C114:C115"/>
    <mergeCell ref="D114:D115"/>
    <mergeCell ref="E114:E115"/>
    <mergeCell ref="F114:F115"/>
    <mergeCell ref="Q114:Q115"/>
    <mergeCell ref="S114:S115"/>
    <mergeCell ref="A116:A117"/>
    <mergeCell ref="B116:B117"/>
    <mergeCell ref="C116:C117"/>
    <mergeCell ref="D116:D117"/>
    <mergeCell ref="E116:E117"/>
    <mergeCell ref="F116:F117"/>
    <mergeCell ref="A67:A68"/>
    <mergeCell ref="B67:B68"/>
    <mergeCell ref="C67:C68"/>
    <mergeCell ref="D67:D68"/>
    <mergeCell ref="D71:D72"/>
    <mergeCell ref="D77:D80"/>
    <mergeCell ref="D101:D102"/>
    <mergeCell ref="D105:D107"/>
    <mergeCell ref="A108:A110"/>
    <mergeCell ref="B108:B110"/>
    <mergeCell ref="C108:C110"/>
    <mergeCell ref="D108:D110"/>
    <mergeCell ref="D81:D82"/>
    <mergeCell ref="D94:D95"/>
    <mergeCell ref="Q58:Q59"/>
    <mergeCell ref="D61:D63"/>
    <mergeCell ref="A65:A66"/>
    <mergeCell ref="B65:B66"/>
    <mergeCell ref="C65:C66"/>
    <mergeCell ref="D65:D66"/>
    <mergeCell ref="E65:E66"/>
    <mergeCell ref="F65:F66"/>
    <mergeCell ref="D54:D55"/>
    <mergeCell ref="E54:E55"/>
    <mergeCell ref="F54:F55"/>
    <mergeCell ref="D56:D57"/>
    <mergeCell ref="E56:E57"/>
    <mergeCell ref="D58:D59"/>
    <mergeCell ref="E58:E59"/>
    <mergeCell ref="D48:D49"/>
    <mergeCell ref="E48:E49"/>
    <mergeCell ref="F48:F49"/>
    <mergeCell ref="D50:D51"/>
    <mergeCell ref="E50:E53"/>
    <mergeCell ref="Q50:Q51"/>
    <mergeCell ref="D52:D53"/>
    <mergeCell ref="F52:F53"/>
    <mergeCell ref="Q23:Q24"/>
    <mergeCell ref="D25:D28"/>
    <mergeCell ref="E25:E43"/>
    <mergeCell ref="D44:D45"/>
    <mergeCell ref="E44:E47"/>
    <mergeCell ref="D46:D47"/>
    <mergeCell ref="F46:F47"/>
    <mergeCell ref="A19:A24"/>
    <mergeCell ref="B19:B24"/>
    <mergeCell ref="C19:C24"/>
    <mergeCell ref="D19:D24"/>
    <mergeCell ref="E19:E24"/>
    <mergeCell ref="F19:F24"/>
    <mergeCell ref="A11:U11"/>
    <mergeCell ref="A12:U12"/>
    <mergeCell ref="B13:U13"/>
    <mergeCell ref="C14:U14"/>
    <mergeCell ref="D15:D16"/>
    <mergeCell ref="D17:D18"/>
    <mergeCell ref="A4:S4"/>
    <mergeCell ref="A5:S5"/>
    <mergeCell ref="A6:S6"/>
    <mergeCell ref="P7:S7"/>
    <mergeCell ref="G8:G10"/>
    <mergeCell ref="J8:J10"/>
    <mergeCell ref="M8:M10"/>
    <mergeCell ref="P8:P10"/>
    <mergeCell ref="Q9:Q10"/>
    <mergeCell ref="Q8:T8"/>
    <mergeCell ref="A8:A10"/>
    <mergeCell ref="B8:B10"/>
    <mergeCell ref="C8:C10"/>
    <mergeCell ref="D8:D10"/>
    <mergeCell ref="E8:E10"/>
    <mergeCell ref="F8:F10"/>
    <mergeCell ref="R9:T9"/>
    <mergeCell ref="I8:I10"/>
    <mergeCell ref="H8:H10"/>
    <mergeCell ref="K8:K10"/>
    <mergeCell ref="L8:L10"/>
    <mergeCell ref="N8:N10"/>
    <mergeCell ref="O8:O10"/>
    <mergeCell ref="F151:F153"/>
    <mergeCell ref="Q152:Q153"/>
    <mergeCell ref="D154:D156"/>
    <mergeCell ref="E154:E156"/>
    <mergeCell ref="F154:F156"/>
    <mergeCell ref="Q138:Q139"/>
    <mergeCell ref="D141:D146"/>
    <mergeCell ref="U46:U47"/>
    <mergeCell ref="U48:U49"/>
    <mergeCell ref="U74:U75"/>
    <mergeCell ref="U65:U66"/>
    <mergeCell ref="U151:U153"/>
    <mergeCell ref="Q94:Q95"/>
    <mergeCell ref="D96:D99"/>
    <mergeCell ref="E96:E100"/>
    <mergeCell ref="Q99:Q100"/>
    <mergeCell ref="E81:E82"/>
    <mergeCell ref="E108:E110"/>
    <mergeCell ref="T114:T115"/>
    <mergeCell ref="U135:U137"/>
    <mergeCell ref="F108:F110"/>
    <mergeCell ref="D111:D112"/>
    <mergeCell ref="E135:E137"/>
    <mergeCell ref="F135:F137"/>
    <mergeCell ref="U166:U168"/>
    <mergeCell ref="U209:U215"/>
    <mergeCell ref="U148:U150"/>
    <mergeCell ref="U154:U156"/>
    <mergeCell ref="U160:U162"/>
    <mergeCell ref="U50:U51"/>
    <mergeCell ref="U91:U92"/>
    <mergeCell ref="U88:U90"/>
    <mergeCell ref="U122:U127"/>
    <mergeCell ref="U128:U130"/>
    <mergeCell ref="U198:U204"/>
  </mergeCells>
  <printOptions horizontalCentered="1"/>
  <pageMargins left="0.19685039370078741" right="0.19685039370078741" top="0.59055118110236227" bottom="0.19685039370078741" header="0" footer="0"/>
  <pageSetup paperSize="9" scale="64" orientation="landscape" r:id="rId1"/>
  <rowBreaks count="4" manualBreakCount="4">
    <brk id="45" max="20" man="1"/>
    <brk id="137" max="20" man="1"/>
    <brk id="168" max="20" man="1"/>
    <brk id="225"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285"/>
  <sheetViews>
    <sheetView view="pageBreakPreview" zoomScaleNormal="100" zoomScaleSheetLayoutView="100" workbookViewId="0">
      <selection activeCell="AB7" sqref="AA6:AB7"/>
    </sheetView>
  </sheetViews>
  <sheetFormatPr defaultRowHeight="12.75" x14ac:dyDescent="0.2"/>
  <cols>
    <col min="1" max="4" width="2.7109375" style="5" customWidth="1"/>
    <col min="5" max="5" width="32" style="5" customWidth="1"/>
    <col min="6" max="6" width="3.28515625" style="13" customWidth="1"/>
    <col min="7" max="7" width="3.28515625" style="941" customWidth="1"/>
    <col min="8" max="8" width="11.5703125" style="941" customWidth="1"/>
    <col min="9" max="9" width="8.28515625" style="20" customWidth="1"/>
    <col min="10" max="11" width="8.85546875" style="5" customWidth="1"/>
    <col min="12" max="12" width="8.7109375" style="5" customWidth="1"/>
    <col min="13" max="13" width="8.85546875" style="5" hidden="1" customWidth="1"/>
    <col min="14" max="14" width="37" style="5" customWidth="1"/>
    <col min="15" max="16" width="4.5703125" style="5" customWidth="1"/>
    <col min="17" max="17" width="4.42578125" style="5" customWidth="1"/>
    <col min="18" max="18" width="0.140625" style="5" customWidth="1"/>
    <col min="19" max="16384" width="9.140625" style="3"/>
  </cols>
  <sheetData>
    <row r="1" spans="1:18" s="131" customFormat="1" ht="14.25" customHeight="1" x14ac:dyDescent="0.25">
      <c r="N1" s="1681" t="s">
        <v>109</v>
      </c>
      <c r="O1" s="1682"/>
      <c r="P1" s="1682"/>
      <c r="Q1" s="1682"/>
      <c r="R1" s="1682"/>
    </row>
    <row r="2" spans="1:18" s="131" customFormat="1" ht="14.25" customHeight="1" x14ac:dyDescent="0.25">
      <c r="N2" s="607"/>
      <c r="O2" s="1292"/>
      <c r="P2" s="1292"/>
      <c r="Q2" s="1292"/>
      <c r="R2" s="1292"/>
    </row>
    <row r="3" spans="1:18" s="50" customFormat="1" ht="15.75" x14ac:dyDescent="0.2">
      <c r="A3" s="1577" t="s">
        <v>374</v>
      </c>
      <c r="B3" s="1577"/>
      <c r="C3" s="1577"/>
      <c r="D3" s="1577"/>
      <c r="E3" s="1577"/>
      <c r="F3" s="1577"/>
      <c r="G3" s="1577"/>
      <c r="H3" s="1577"/>
      <c r="I3" s="1577"/>
      <c r="J3" s="1577"/>
      <c r="K3" s="1577"/>
      <c r="L3" s="1577"/>
      <c r="M3" s="1577"/>
      <c r="N3" s="1577"/>
      <c r="O3" s="1577"/>
      <c r="P3" s="1577"/>
      <c r="Q3" s="1577"/>
      <c r="R3" s="1577"/>
    </row>
    <row r="4" spans="1:18" ht="15.75" x14ac:dyDescent="0.2">
      <c r="A4" s="1578" t="s">
        <v>25</v>
      </c>
      <c r="B4" s="1578"/>
      <c r="C4" s="1578"/>
      <c r="D4" s="1578"/>
      <c r="E4" s="1578"/>
      <c r="F4" s="1578"/>
      <c r="G4" s="1578"/>
      <c r="H4" s="1578"/>
      <c r="I4" s="1578"/>
      <c r="J4" s="1578"/>
      <c r="K4" s="1578"/>
      <c r="L4" s="1578"/>
      <c r="M4" s="1578"/>
      <c r="N4" s="1578"/>
      <c r="O4" s="1578"/>
      <c r="P4" s="1578"/>
      <c r="Q4" s="1578"/>
      <c r="R4" s="1578"/>
    </row>
    <row r="5" spans="1:18" ht="15.75" x14ac:dyDescent="0.2">
      <c r="A5" s="1579" t="s">
        <v>106</v>
      </c>
      <c r="B5" s="1579"/>
      <c r="C5" s="1579"/>
      <c r="D5" s="1579"/>
      <c r="E5" s="1579"/>
      <c r="F5" s="1579"/>
      <c r="G5" s="1579"/>
      <c r="H5" s="1579"/>
      <c r="I5" s="1579"/>
      <c r="J5" s="1579"/>
      <c r="K5" s="1579"/>
      <c r="L5" s="1579"/>
      <c r="M5" s="1579"/>
      <c r="N5" s="1579"/>
      <c r="O5" s="1579"/>
      <c r="P5" s="1579"/>
      <c r="Q5" s="1579"/>
      <c r="R5" s="1579"/>
    </row>
    <row r="6" spans="1:18" ht="13.5" thickBot="1" x14ac:dyDescent="0.25">
      <c r="N6" s="1580" t="s">
        <v>103</v>
      </c>
      <c r="O6" s="1580"/>
      <c r="P6" s="1580"/>
      <c r="Q6" s="1580"/>
      <c r="R6" s="1686"/>
    </row>
    <row r="7" spans="1:18" s="50" customFormat="1" ht="24.75" customHeight="1" x14ac:dyDescent="0.2">
      <c r="A7" s="1421" t="s">
        <v>17</v>
      </c>
      <c r="B7" s="1424" t="s">
        <v>0</v>
      </c>
      <c r="C7" s="1424" t="s">
        <v>1</v>
      </c>
      <c r="D7" s="1424" t="s">
        <v>71</v>
      </c>
      <c r="E7" s="1427" t="s">
        <v>12</v>
      </c>
      <c r="F7" s="1409" t="s">
        <v>2</v>
      </c>
      <c r="G7" s="1412" t="s">
        <v>3</v>
      </c>
      <c r="H7" s="1683" t="s">
        <v>72</v>
      </c>
      <c r="I7" s="1415" t="s">
        <v>4</v>
      </c>
      <c r="J7" s="1418" t="s">
        <v>231</v>
      </c>
      <c r="K7" s="1418" t="s">
        <v>371</v>
      </c>
      <c r="L7" s="1418" t="s">
        <v>224</v>
      </c>
      <c r="M7" s="1418" t="s">
        <v>372</v>
      </c>
      <c r="N7" s="1399" t="s">
        <v>11</v>
      </c>
      <c r="O7" s="1400"/>
      <c r="P7" s="1400"/>
      <c r="Q7" s="1400"/>
      <c r="R7" s="1401"/>
    </row>
    <row r="8" spans="1:18" s="50" customFormat="1" ht="18.75" customHeight="1" x14ac:dyDescent="0.2">
      <c r="A8" s="1422"/>
      <c r="B8" s="1425"/>
      <c r="C8" s="1425"/>
      <c r="D8" s="1425"/>
      <c r="E8" s="1428"/>
      <c r="F8" s="1410"/>
      <c r="G8" s="1413"/>
      <c r="H8" s="1684"/>
      <c r="I8" s="1416"/>
      <c r="J8" s="1419"/>
      <c r="K8" s="1419"/>
      <c r="L8" s="1419"/>
      <c r="M8" s="1419"/>
      <c r="N8" s="1402" t="s">
        <v>12</v>
      </c>
      <c r="O8" s="1404" t="s">
        <v>358</v>
      </c>
      <c r="P8" s="1404"/>
      <c r="Q8" s="1404"/>
      <c r="R8" s="1405"/>
    </row>
    <row r="9" spans="1:18" s="50" customFormat="1" ht="59.25" customHeight="1" thickBot="1" x14ac:dyDescent="0.25">
      <c r="A9" s="1423"/>
      <c r="B9" s="1426"/>
      <c r="C9" s="1426"/>
      <c r="D9" s="1426"/>
      <c r="E9" s="1429"/>
      <c r="F9" s="1411"/>
      <c r="G9" s="1414"/>
      <c r="H9" s="1685"/>
      <c r="I9" s="1417"/>
      <c r="J9" s="1420"/>
      <c r="K9" s="1420"/>
      <c r="L9" s="1420"/>
      <c r="M9" s="1420"/>
      <c r="N9" s="1403"/>
      <c r="O9" s="132" t="s">
        <v>110</v>
      </c>
      <c r="P9" s="132" t="s">
        <v>163</v>
      </c>
      <c r="Q9" s="132" t="s">
        <v>225</v>
      </c>
      <c r="R9" s="4" t="s">
        <v>373</v>
      </c>
    </row>
    <row r="10" spans="1:18" s="12" customFormat="1" ht="15" customHeight="1" x14ac:dyDescent="0.2">
      <c r="A10" s="1406" t="s">
        <v>60</v>
      </c>
      <c r="B10" s="1407"/>
      <c r="C10" s="1407"/>
      <c r="D10" s="1407"/>
      <c r="E10" s="1407"/>
      <c r="F10" s="1407"/>
      <c r="G10" s="1407"/>
      <c r="H10" s="1407"/>
      <c r="I10" s="1407"/>
      <c r="J10" s="1407"/>
      <c r="K10" s="1407"/>
      <c r="L10" s="1407"/>
      <c r="M10" s="1407"/>
      <c r="N10" s="1407"/>
      <c r="O10" s="1407"/>
      <c r="P10" s="1407"/>
      <c r="Q10" s="1407"/>
      <c r="R10" s="1408"/>
    </row>
    <row r="11" spans="1:18" s="12" customFormat="1" ht="14.25" customHeight="1" x14ac:dyDescent="0.2">
      <c r="A11" s="1378" t="s">
        <v>45</v>
      </c>
      <c r="B11" s="1379"/>
      <c r="C11" s="1379"/>
      <c r="D11" s="1379"/>
      <c r="E11" s="1379"/>
      <c r="F11" s="1379"/>
      <c r="G11" s="1379"/>
      <c r="H11" s="1379"/>
      <c r="I11" s="1379"/>
      <c r="J11" s="1379"/>
      <c r="K11" s="1379"/>
      <c r="L11" s="1379"/>
      <c r="M11" s="1379"/>
      <c r="N11" s="1379"/>
      <c r="O11" s="1379"/>
      <c r="P11" s="1379"/>
      <c r="Q11" s="1379"/>
      <c r="R11" s="1380"/>
    </row>
    <row r="12" spans="1:18" ht="15" customHeight="1" x14ac:dyDescent="0.2">
      <c r="A12" s="25" t="s">
        <v>5</v>
      </c>
      <c r="B12" s="1381" t="s">
        <v>61</v>
      </c>
      <c r="C12" s="1382"/>
      <c r="D12" s="1382"/>
      <c r="E12" s="1382"/>
      <c r="F12" s="1382"/>
      <c r="G12" s="1382"/>
      <c r="H12" s="1382"/>
      <c r="I12" s="1382"/>
      <c r="J12" s="1382"/>
      <c r="K12" s="1382"/>
      <c r="L12" s="1382"/>
      <c r="M12" s="1382"/>
      <c r="N12" s="1382"/>
      <c r="O12" s="1382"/>
      <c r="P12" s="1382"/>
      <c r="Q12" s="1382"/>
      <c r="R12" s="1383"/>
    </row>
    <row r="13" spans="1:18" ht="15.75" customHeight="1" x14ac:dyDescent="0.2">
      <c r="A13" s="39" t="s">
        <v>5</v>
      </c>
      <c r="B13" s="40" t="s">
        <v>5</v>
      </c>
      <c r="C13" s="1384" t="s">
        <v>41</v>
      </c>
      <c r="D13" s="1385"/>
      <c r="E13" s="1385"/>
      <c r="F13" s="1385"/>
      <c r="G13" s="1385"/>
      <c r="H13" s="1385"/>
      <c r="I13" s="1385"/>
      <c r="J13" s="1385"/>
      <c r="K13" s="1385"/>
      <c r="L13" s="1385"/>
      <c r="M13" s="1385"/>
      <c r="N13" s="1385"/>
      <c r="O13" s="1385"/>
      <c r="P13" s="1385"/>
      <c r="Q13" s="1385"/>
      <c r="R13" s="1386"/>
    </row>
    <row r="14" spans="1:18" ht="39" customHeight="1" x14ac:dyDescent="0.2">
      <c r="A14" s="1236" t="s">
        <v>5</v>
      </c>
      <c r="B14" s="1238" t="s">
        <v>5</v>
      </c>
      <c r="C14" s="1289" t="s">
        <v>5</v>
      </c>
      <c r="D14" s="1288"/>
      <c r="E14" s="1227" t="s">
        <v>93</v>
      </c>
      <c r="F14" s="706" t="s">
        <v>300</v>
      </c>
      <c r="G14" s="230" t="s">
        <v>27</v>
      </c>
      <c r="H14" s="1293" t="s">
        <v>167</v>
      </c>
      <c r="I14" s="37"/>
      <c r="J14" s="260"/>
      <c r="K14" s="102"/>
      <c r="L14" s="260"/>
      <c r="M14" s="260"/>
      <c r="N14" s="270"/>
      <c r="O14" s="149"/>
      <c r="P14" s="149"/>
      <c r="Q14" s="476"/>
      <c r="R14" s="288"/>
    </row>
    <row r="15" spans="1:18" ht="16.5" customHeight="1" x14ac:dyDescent="0.2">
      <c r="A15" s="1236"/>
      <c r="B15" s="1238"/>
      <c r="C15" s="1289"/>
      <c r="D15" s="1287" t="s">
        <v>5</v>
      </c>
      <c r="E15" s="1373" t="s">
        <v>107</v>
      </c>
      <c r="F15" s="1249"/>
      <c r="G15" s="1242"/>
      <c r="H15" s="1689"/>
      <c r="I15" s="58" t="s">
        <v>24</v>
      </c>
      <c r="J15" s="103">
        <v>140.1</v>
      </c>
      <c r="K15" s="127">
        <v>140.1</v>
      </c>
      <c r="L15" s="103">
        <v>140.1</v>
      </c>
      <c r="M15" s="103">
        <v>140.1</v>
      </c>
      <c r="N15" s="47" t="s">
        <v>218</v>
      </c>
      <c r="O15" s="286">
        <v>3.9</v>
      </c>
      <c r="P15" s="134">
        <v>3.9</v>
      </c>
      <c r="Q15" s="134">
        <v>3.9</v>
      </c>
      <c r="R15" s="409">
        <v>3.9</v>
      </c>
    </row>
    <row r="16" spans="1:18" ht="16.5" customHeight="1" x14ac:dyDescent="0.2">
      <c r="A16" s="1236"/>
      <c r="B16" s="1238"/>
      <c r="C16" s="1289"/>
      <c r="D16" s="1239"/>
      <c r="E16" s="1387"/>
      <c r="F16" s="1249"/>
      <c r="G16" s="1242"/>
      <c r="H16" s="1689"/>
      <c r="I16" s="24"/>
      <c r="J16" s="260"/>
      <c r="K16" s="102"/>
      <c r="L16" s="260"/>
      <c r="M16" s="260"/>
      <c r="N16" s="538" t="s">
        <v>297</v>
      </c>
      <c r="O16" s="571">
        <v>341</v>
      </c>
      <c r="P16" s="448">
        <v>353</v>
      </c>
      <c r="Q16" s="448">
        <v>353</v>
      </c>
      <c r="R16" s="449">
        <v>353</v>
      </c>
    </row>
    <row r="17" spans="1:18" ht="8.25" customHeight="1" x14ac:dyDescent="0.2">
      <c r="A17" s="1236"/>
      <c r="B17" s="1238"/>
      <c r="C17" s="1289"/>
      <c r="D17" s="1239"/>
      <c r="E17" s="1458"/>
      <c r="F17" s="1249"/>
      <c r="G17" s="1242"/>
      <c r="H17" s="1690"/>
      <c r="I17" s="36"/>
      <c r="J17" s="260"/>
      <c r="K17" s="102"/>
      <c r="L17" s="260"/>
      <c r="M17" s="260"/>
      <c r="N17" s="291"/>
      <c r="O17" s="287"/>
      <c r="P17" s="553"/>
      <c r="Q17" s="553"/>
      <c r="R17" s="289"/>
    </row>
    <row r="18" spans="1:18" ht="16.5" customHeight="1" x14ac:dyDescent="0.2">
      <c r="A18" s="1388"/>
      <c r="B18" s="1396"/>
      <c r="C18" s="1670"/>
      <c r="D18" s="1664" t="s">
        <v>7</v>
      </c>
      <c r="E18" s="1373" t="s">
        <v>30</v>
      </c>
      <c r="F18" s="1430" t="s">
        <v>96</v>
      </c>
      <c r="G18" s="1434"/>
      <c r="H18" s="1654"/>
      <c r="I18" s="686" t="s">
        <v>24</v>
      </c>
      <c r="J18" s="103">
        <v>15.6</v>
      </c>
      <c r="K18" s="127">
        <v>15.6</v>
      </c>
      <c r="L18" s="103">
        <v>15.6</v>
      </c>
      <c r="M18" s="103">
        <v>15.6</v>
      </c>
      <c r="N18" s="1298" t="s">
        <v>32</v>
      </c>
      <c r="O18" s="34">
        <v>4</v>
      </c>
      <c r="P18" s="470">
        <v>4</v>
      </c>
      <c r="Q18" s="136">
        <v>4</v>
      </c>
      <c r="R18" s="198">
        <v>4</v>
      </c>
    </row>
    <row r="19" spans="1:18" ht="16.5" customHeight="1" x14ac:dyDescent="0.2">
      <c r="A19" s="1388"/>
      <c r="B19" s="1396"/>
      <c r="C19" s="1670"/>
      <c r="D19" s="1397"/>
      <c r="E19" s="1387"/>
      <c r="F19" s="1431"/>
      <c r="G19" s="1434"/>
      <c r="H19" s="1654"/>
      <c r="I19" s="1280"/>
      <c r="J19" s="260"/>
      <c r="K19" s="102"/>
      <c r="L19" s="260"/>
      <c r="M19" s="260"/>
      <c r="N19" s="625" t="s">
        <v>83</v>
      </c>
      <c r="O19" s="627">
        <v>3</v>
      </c>
      <c r="P19" s="628">
        <v>3</v>
      </c>
      <c r="Q19" s="573">
        <v>6</v>
      </c>
      <c r="R19" s="574">
        <v>6</v>
      </c>
    </row>
    <row r="20" spans="1:18" ht="27" customHeight="1" x14ac:dyDescent="0.2">
      <c r="A20" s="1388"/>
      <c r="B20" s="1396"/>
      <c r="C20" s="1670"/>
      <c r="D20" s="1397"/>
      <c r="E20" s="1387"/>
      <c r="F20" s="1431"/>
      <c r="G20" s="1434"/>
      <c r="H20" s="1654"/>
      <c r="I20" s="206" t="s">
        <v>24</v>
      </c>
      <c r="J20" s="157">
        <f>15-2.2</f>
        <v>12.8</v>
      </c>
      <c r="K20" s="610"/>
      <c r="L20" s="157"/>
      <c r="M20" s="157"/>
      <c r="N20" s="31" t="s">
        <v>359</v>
      </c>
      <c r="O20" s="537">
        <v>1</v>
      </c>
      <c r="P20" s="537"/>
      <c r="Q20" s="1212"/>
      <c r="R20" s="572"/>
    </row>
    <row r="21" spans="1:18" ht="18" customHeight="1" x14ac:dyDescent="0.2">
      <c r="A21" s="1388"/>
      <c r="B21" s="1396"/>
      <c r="C21" s="1670"/>
      <c r="D21" s="1397"/>
      <c r="E21" s="1387"/>
      <c r="F21" s="1431"/>
      <c r="G21" s="1434"/>
      <c r="H21" s="1654"/>
      <c r="I21" s="206" t="s">
        <v>24</v>
      </c>
      <c r="J21" s="157"/>
      <c r="K21" s="610">
        <v>30</v>
      </c>
      <c r="L21" s="157"/>
      <c r="M21" s="157"/>
      <c r="N21" s="31" t="s">
        <v>245</v>
      </c>
      <c r="O21" s="537"/>
      <c r="P21" s="537">
        <v>3</v>
      </c>
      <c r="Q21" s="1212"/>
      <c r="R21" s="572"/>
    </row>
    <row r="22" spans="1:18" ht="16.5" customHeight="1" x14ac:dyDescent="0.2">
      <c r="A22" s="1388"/>
      <c r="B22" s="1396"/>
      <c r="C22" s="1670"/>
      <c r="D22" s="1397"/>
      <c r="E22" s="1387"/>
      <c r="F22" s="1431"/>
      <c r="G22" s="1434"/>
      <c r="H22" s="1654"/>
      <c r="I22" s="1280" t="s">
        <v>58</v>
      </c>
      <c r="J22" s="260">
        <v>39.5</v>
      </c>
      <c r="K22" s="102"/>
      <c r="L22" s="260"/>
      <c r="M22" s="260"/>
      <c r="N22" s="1371" t="s">
        <v>354</v>
      </c>
      <c r="O22" s="135">
        <v>100</v>
      </c>
      <c r="P22" s="135"/>
      <c r="Q22" s="135"/>
      <c r="R22" s="536"/>
    </row>
    <row r="23" spans="1:18" ht="28.5" customHeight="1" x14ac:dyDescent="0.2">
      <c r="A23" s="1388"/>
      <c r="B23" s="1396"/>
      <c r="C23" s="1670"/>
      <c r="D23" s="1397"/>
      <c r="E23" s="1398"/>
      <c r="F23" s="1432"/>
      <c r="G23" s="1434"/>
      <c r="H23" s="1655"/>
      <c r="I23" s="283" t="s">
        <v>24</v>
      </c>
      <c r="J23" s="104">
        <v>10.7</v>
      </c>
      <c r="K23" s="101"/>
      <c r="L23" s="104"/>
      <c r="M23" s="104"/>
      <c r="N23" s="1372"/>
      <c r="O23" s="137"/>
      <c r="P23" s="137"/>
      <c r="Q23" s="137"/>
      <c r="R23" s="197"/>
    </row>
    <row r="24" spans="1:18" ht="18" customHeight="1" x14ac:dyDescent="0.2">
      <c r="A24" s="1236"/>
      <c r="B24" s="1238"/>
      <c r="C24" s="1289"/>
      <c r="D24" s="1664" t="s">
        <v>26</v>
      </c>
      <c r="E24" s="1373" t="s">
        <v>31</v>
      </c>
      <c r="F24" s="1375"/>
      <c r="G24" s="1242"/>
      <c r="H24" s="1284"/>
      <c r="I24" s="1280" t="s">
        <v>24</v>
      </c>
      <c r="J24" s="260">
        <f>252-127.1+2.2</f>
        <v>127.1</v>
      </c>
      <c r="K24" s="932">
        <v>160</v>
      </c>
      <c r="L24" s="260">
        <v>160</v>
      </c>
      <c r="M24" s="260">
        <v>160</v>
      </c>
      <c r="N24" s="1026" t="s">
        <v>169</v>
      </c>
      <c r="O24" s="80"/>
      <c r="P24" s="477"/>
      <c r="Q24" s="477"/>
      <c r="R24" s="38"/>
    </row>
    <row r="25" spans="1:18" ht="29.25" customHeight="1" x14ac:dyDescent="0.2">
      <c r="A25" s="1236"/>
      <c r="B25" s="1238"/>
      <c r="C25" s="1289"/>
      <c r="D25" s="1397"/>
      <c r="E25" s="1691"/>
      <c r="F25" s="1376"/>
      <c r="G25" s="1242"/>
      <c r="H25" s="1284"/>
      <c r="I25" s="1280" t="s">
        <v>58</v>
      </c>
      <c r="J25" s="260">
        <f>85.8+14.1</f>
        <v>99.9</v>
      </c>
      <c r="K25" s="102"/>
      <c r="L25" s="260"/>
      <c r="M25" s="260"/>
      <c r="N25" s="1027" t="s">
        <v>170</v>
      </c>
      <c r="O25" s="271">
        <v>87</v>
      </c>
      <c r="P25" s="1277">
        <v>87</v>
      </c>
      <c r="Q25" s="1277">
        <v>87</v>
      </c>
      <c r="R25" s="1254">
        <v>87</v>
      </c>
    </row>
    <row r="26" spans="1:18" ht="25.5" customHeight="1" x14ac:dyDescent="0.2">
      <c r="A26" s="1236"/>
      <c r="B26" s="1238"/>
      <c r="C26" s="1289"/>
      <c r="D26" s="1397"/>
      <c r="E26" s="1691"/>
      <c r="F26" s="1376"/>
      <c r="G26" s="1242"/>
      <c r="H26" s="1284"/>
      <c r="I26" s="1280"/>
      <c r="J26" s="260"/>
      <c r="K26" s="102"/>
      <c r="L26" s="260"/>
      <c r="M26" s="260"/>
      <c r="N26" s="1028" t="s">
        <v>145</v>
      </c>
      <c r="O26" s="322">
        <v>63</v>
      </c>
      <c r="P26" s="478">
        <v>63</v>
      </c>
      <c r="Q26" s="478">
        <v>63</v>
      </c>
      <c r="R26" s="323">
        <v>63</v>
      </c>
    </row>
    <row r="27" spans="1:18" ht="15" customHeight="1" x14ac:dyDescent="0.2">
      <c r="A27" s="1236"/>
      <c r="B27" s="1238"/>
      <c r="C27" s="1289"/>
      <c r="D27" s="1397"/>
      <c r="E27" s="1691"/>
      <c r="F27" s="1376"/>
      <c r="G27" s="1242"/>
      <c r="H27" s="1284"/>
      <c r="I27" s="1280"/>
      <c r="J27" s="260"/>
      <c r="K27" s="102"/>
      <c r="L27" s="260"/>
      <c r="M27" s="260"/>
      <c r="N27" s="1029" t="s">
        <v>171</v>
      </c>
      <c r="O27" s="239"/>
      <c r="P27" s="479"/>
      <c r="Q27" s="479"/>
      <c r="R27" s="325"/>
    </row>
    <row r="28" spans="1:18" ht="13.5" customHeight="1" x14ac:dyDescent="0.2">
      <c r="A28" s="1236"/>
      <c r="B28" s="1238"/>
      <c r="C28" s="1289"/>
      <c r="D28" s="1397"/>
      <c r="E28" s="192"/>
      <c r="F28" s="1376"/>
      <c r="G28" s="1242"/>
      <c r="H28" s="1284"/>
      <c r="I28" s="1280"/>
      <c r="J28" s="260"/>
      <c r="K28" s="102"/>
      <c r="L28" s="260"/>
      <c r="M28" s="260"/>
      <c r="N28" s="1283" t="s">
        <v>104</v>
      </c>
      <c r="O28" s="1199">
        <v>10</v>
      </c>
      <c r="P28" s="135">
        <v>10</v>
      </c>
      <c r="Q28" s="135">
        <v>10</v>
      </c>
      <c r="R28" s="536">
        <v>10</v>
      </c>
    </row>
    <row r="29" spans="1:18" ht="13.5" customHeight="1" x14ac:dyDescent="0.2">
      <c r="A29" s="1236"/>
      <c r="B29" s="1238"/>
      <c r="C29" s="1289"/>
      <c r="D29" s="1397"/>
      <c r="E29" s="192"/>
      <c r="F29" s="1376"/>
      <c r="G29" s="1242"/>
      <c r="H29" s="1284"/>
      <c r="I29" s="1280"/>
      <c r="J29" s="260"/>
      <c r="K29" s="102"/>
      <c r="L29" s="260"/>
      <c r="M29" s="260"/>
      <c r="N29" s="1273" t="s">
        <v>33</v>
      </c>
      <c r="O29" s="32" t="s">
        <v>246</v>
      </c>
      <c r="P29" s="256" t="s">
        <v>246</v>
      </c>
      <c r="Q29" s="256" t="s">
        <v>246</v>
      </c>
      <c r="R29" s="326" t="s">
        <v>246</v>
      </c>
    </row>
    <row r="30" spans="1:18" ht="13.5" customHeight="1" x14ac:dyDescent="0.2">
      <c r="A30" s="1236"/>
      <c r="B30" s="1238"/>
      <c r="C30" s="1289"/>
      <c r="D30" s="1397"/>
      <c r="E30" s="192"/>
      <c r="F30" s="1376"/>
      <c r="G30" s="1242"/>
      <c r="H30" s="1284"/>
      <c r="I30" s="1280"/>
      <c r="J30" s="260"/>
      <c r="K30" s="102"/>
      <c r="L30" s="260"/>
      <c r="M30" s="260"/>
      <c r="N30" s="1273" t="s">
        <v>82</v>
      </c>
      <c r="O30" s="32" t="s">
        <v>298</v>
      </c>
      <c r="P30" s="256" t="s">
        <v>298</v>
      </c>
      <c r="Q30" s="256" t="s">
        <v>298</v>
      </c>
      <c r="R30" s="326" t="s">
        <v>298</v>
      </c>
    </row>
    <row r="31" spans="1:18" ht="13.5" customHeight="1" x14ac:dyDescent="0.2">
      <c r="A31" s="1236"/>
      <c r="B31" s="1238"/>
      <c r="C31" s="1289"/>
      <c r="D31" s="1397"/>
      <c r="E31" s="192"/>
      <c r="F31" s="1376"/>
      <c r="G31" s="1242"/>
      <c r="H31" s="1284"/>
      <c r="I31" s="1280"/>
      <c r="J31" s="260"/>
      <c r="K31" s="102"/>
      <c r="L31" s="260"/>
      <c r="M31" s="260"/>
      <c r="N31" s="1273" t="s">
        <v>247</v>
      </c>
      <c r="O31" s="32" t="s">
        <v>166</v>
      </c>
      <c r="P31" s="256" t="s">
        <v>166</v>
      </c>
      <c r="Q31" s="256" t="s">
        <v>166</v>
      </c>
      <c r="R31" s="326" t="s">
        <v>166</v>
      </c>
    </row>
    <row r="32" spans="1:18" ht="13.5" customHeight="1" x14ac:dyDescent="0.2">
      <c r="A32" s="1236"/>
      <c r="B32" s="1238"/>
      <c r="C32" s="1289"/>
      <c r="D32" s="1397"/>
      <c r="E32" s="192"/>
      <c r="F32" s="1376"/>
      <c r="G32" s="1242"/>
      <c r="H32" s="1284"/>
      <c r="I32" s="1280"/>
      <c r="J32" s="260"/>
      <c r="K32" s="102"/>
      <c r="L32" s="260"/>
      <c r="M32" s="260"/>
      <c r="N32" s="1141" t="s">
        <v>232</v>
      </c>
      <c r="O32" s="32" t="s">
        <v>228</v>
      </c>
      <c r="P32" s="256" t="s">
        <v>228</v>
      </c>
      <c r="Q32" s="256" t="s">
        <v>228</v>
      </c>
      <c r="R32" s="326" t="s">
        <v>228</v>
      </c>
    </row>
    <row r="33" spans="1:21" ht="13.5" customHeight="1" x14ac:dyDescent="0.2">
      <c r="A33" s="1236"/>
      <c r="B33" s="1238"/>
      <c r="C33" s="1289"/>
      <c r="D33" s="1397"/>
      <c r="E33" s="192"/>
      <c r="F33" s="1376"/>
      <c r="G33" s="1242"/>
      <c r="H33" s="1284"/>
      <c r="I33" s="1280"/>
      <c r="J33" s="260"/>
      <c r="K33" s="102"/>
      <c r="L33" s="260"/>
      <c r="M33" s="260"/>
      <c r="N33" s="1273" t="s">
        <v>248</v>
      </c>
      <c r="O33" s="32" t="s">
        <v>249</v>
      </c>
      <c r="P33" s="256" t="s">
        <v>249</v>
      </c>
      <c r="Q33" s="256" t="s">
        <v>249</v>
      </c>
      <c r="R33" s="326" t="s">
        <v>249</v>
      </c>
    </row>
    <row r="34" spans="1:21" ht="13.5" customHeight="1" x14ac:dyDescent="0.2">
      <c r="A34" s="1236"/>
      <c r="B34" s="1238"/>
      <c r="C34" s="1289"/>
      <c r="D34" s="1397"/>
      <c r="E34" s="192"/>
      <c r="F34" s="1376"/>
      <c r="G34" s="1242"/>
      <c r="H34" s="1284"/>
      <c r="I34" s="1280"/>
      <c r="J34" s="260"/>
      <c r="K34" s="102"/>
      <c r="L34" s="260"/>
      <c r="M34" s="260"/>
      <c r="N34" s="1273" t="s">
        <v>367</v>
      </c>
      <c r="O34" s="32" t="s">
        <v>50</v>
      </c>
      <c r="P34" s="256"/>
      <c r="Q34" s="256"/>
      <c r="R34" s="326"/>
    </row>
    <row r="35" spans="1:21" ht="14.25" customHeight="1" x14ac:dyDescent="0.2">
      <c r="A35" s="1236"/>
      <c r="B35" s="1238"/>
      <c r="C35" s="1289"/>
      <c r="D35" s="1397"/>
      <c r="E35" s="192"/>
      <c r="F35" s="1376"/>
      <c r="G35" s="1242"/>
      <c r="H35" s="1284"/>
      <c r="I35" s="1280"/>
      <c r="J35" s="260"/>
      <c r="K35" s="102"/>
      <c r="L35" s="260"/>
      <c r="M35" s="260"/>
      <c r="N35" s="769" t="s">
        <v>172</v>
      </c>
      <c r="O35" s="239"/>
      <c r="P35" s="479"/>
      <c r="Q35" s="479"/>
      <c r="R35" s="325"/>
    </row>
    <row r="36" spans="1:21" ht="13.5" customHeight="1" x14ac:dyDescent="0.2">
      <c r="A36" s="1236"/>
      <c r="B36" s="1238"/>
      <c r="C36" s="1289"/>
      <c r="D36" s="1397"/>
      <c r="E36" s="192"/>
      <c r="F36" s="1376"/>
      <c r="G36" s="1242"/>
      <c r="H36" s="1284"/>
      <c r="I36" s="1280"/>
      <c r="J36" s="260"/>
      <c r="K36" s="102"/>
      <c r="L36" s="260"/>
      <c r="M36" s="260"/>
      <c r="N36" s="1279" t="s">
        <v>147</v>
      </c>
      <c r="O36" s="328">
        <v>11</v>
      </c>
      <c r="P36" s="383">
        <v>11</v>
      </c>
      <c r="Q36" s="383">
        <v>11</v>
      </c>
      <c r="R36" s="329">
        <v>11</v>
      </c>
    </row>
    <row r="37" spans="1:21" ht="18" customHeight="1" x14ac:dyDescent="0.2">
      <c r="A37" s="1236"/>
      <c r="B37" s="1238"/>
      <c r="C37" s="1289"/>
      <c r="D37" s="1397"/>
      <c r="E37" s="192"/>
      <c r="F37" s="1376"/>
      <c r="G37" s="1242"/>
      <c r="H37" s="1284"/>
      <c r="I37" s="1280"/>
      <c r="J37" s="260"/>
      <c r="K37" s="102"/>
      <c r="L37" s="260"/>
      <c r="M37" s="260"/>
      <c r="N37" s="958" t="s">
        <v>146</v>
      </c>
      <c r="O37" s="190" t="s">
        <v>131</v>
      </c>
      <c r="P37" s="292" t="s">
        <v>131</v>
      </c>
      <c r="Q37" s="292" t="s">
        <v>131</v>
      </c>
      <c r="R37" s="191" t="s">
        <v>131</v>
      </c>
    </row>
    <row r="38" spans="1:21" ht="15" customHeight="1" x14ac:dyDescent="0.2">
      <c r="A38" s="1236"/>
      <c r="B38" s="1238"/>
      <c r="C38" s="1289"/>
      <c r="D38" s="1397"/>
      <c r="E38" s="192"/>
      <c r="F38" s="1376"/>
      <c r="G38" s="1242"/>
      <c r="H38" s="1284"/>
      <c r="I38" s="1280"/>
      <c r="J38" s="260"/>
      <c r="K38" s="102"/>
      <c r="L38" s="260"/>
      <c r="M38" s="260"/>
      <c r="N38" s="327" t="s">
        <v>173</v>
      </c>
      <c r="O38" s="328"/>
      <c r="P38" s="383"/>
      <c r="Q38" s="383"/>
      <c r="R38" s="329"/>
    </row>
    <row r="39" spans="1:21" ht="28.5" customHeight="1" x14ac:dyDescent="0.2">
      <c r="A39" s="1236"/>
      <c r="B39" s="1238"/>
      <c r="C39" s="1289"/>
      <c r="D39" s="1397"/>
      <c r="E39" s="192"/>
      <c r="F39" s="1376"/>
      <c r="G39" s="1242"/>
      <c r="H39" s="1284"/>
      <c r="I39" s="1280"/>
      <c r="J39" s="260"/>
      <c r="K39" s="102"/>
      <c r="L39" s="260"/>
      <c r="M39" s="260"/>
      <c r="N39" s="1279" t="s">
        <v>322</v>
      </c>
      <c r="O39" s="328"/>
      <c r="P39" s="383">
        <v>150</v>
      </c>
      <c r="Q39" s="383"/>
      <c r="R39" s="329"/>
    </row>
    <row r="40" spans="1:21" ht="27.75" customHeight="1" x14ac:dyDescent="0.2">
      <c r="A40" s="1236"/>
      <c r="B40" s="1238"/>
      <c r="C40" s="1289"/>
      <c r="D40" s="1397"/>
      <c r="E40" s="192"/>
      <c r="F40" s="1376"/>
      <c r="G40" s="1242"/>
      <c r="H40" s="1284"/>
      <c r="I40" s="1280"/>
      <c r="J40" s="260"/>
      <c r="K40" s="102"/>
      <c r="L40" s="260"/>
      <c r="M40" s="260"/>
      <c r="N40" s="1279" t="s">
        <v>323</v>
      </c>
      <c r="O40" s="262"/>
      <c r="P40" s="901">
        <v>7.5</v>
      </c>
      <c r="Q40" s="901"/>
      <c r="R40" s="482"/>
    </row>
    <row r="41" spans="1:21" ht="27" customHeight="1" x14ac:dyDescent="0.2">
      <c r="A41" s="1236"/>
      <c r="B41" s="1238"/>
      <c r="C41" s="1289"/>
      <c r="D41" s="1397"/>
      <c r="E41" s="192"/>
      <c r="F41" s="1376"/>
      <c r="G41" s="1242"/>
      <c r="H41" s="1284"/>
      <c r="I41" s="1280"/>
      <c r="J41" s="260"/>
      <c r="K41" s="102"/>
      <c r="L41" s="260"/>
      <c r="M41" s="260"/>
      <c r="N41" s="45" t="s">
        <v>207</v>
      </c>
      <c r="O41" s="190">
        <v>1</v>
      </c>
      <c r="P41" s="292">
        <v>1</v>
      </c>
      <c r="Q41" s="292">
        <v>1</v>
      </c>
      <c r="R41" s="191">
        <v>1</v>
      </c>
    </row>
    <row r="42" spans="1:21" ht="30" customHeight="1" x14ac:dyDescent="0.2">
      <c r="A42" s="1236"/>
      <c r="B42" s="1238"/>
      <c r="C42" s="1289"/>
      <c r="D42" s="1665"/>
      <c r="E42" s="193"/>
      <c r="F42" s="1377"/>
      <c r="G42" s="1242"/>
      <c r="H42" s="1284"/>
      <c r="I42" s="283"/>
      <c r="J42" s="104"/>
      <c r="K42" s="101"/>
      <c r="L42" s="104"/>
      <c r="M42" s="104"/>
      <c r="N42" s="207" t="s">
        <v>311</v>
      </c>
      <c r="O42" s="391">
        <v>2</v>
      </c>
      <c r="P42" s="480"/>
      <c r="Q42" s="480"/>
      <c r="R42" s="392"/>
    </row>
    <row r="43" spans="1:21" ht="28.5" customHeight="1" x14ac:dyDescent="0.2">
      <c r="A43" s="1236"/>
      <c r="B43" s="1238"/>
      <c r="C43" s="309"/>
      <c r="D43" s="1722" t="s">
        <v>34</v>
      </c>
      <c r="E43" s="1387" t="s">
        <v>135</v>
      </c>
      <c r="F43" s="1439" t="s">
        <v>138</v>
      </c>
      <c r="G43" s="1242"/>
      <c r="H43" s="1689" t="s">
        <v>167</v>
      </c>
      <c r="I43" s="24" t="s">
        <v>24</v>
      </c>
      <c r="J43" s="260">
        <v>20.9</v>
      </c>
      <c r="K43" s="102"/>
      <c r="L43" s="260"/>
      <c r="M43" s="260"/>
      <c r="N43" s="1273" t="s">
        <v>150</v>
      </c>
      <c r="O43" s="174">
        <v>100</v>
      </c>
      <c r="P43" s="386"/>
      <c r="Q43" s="167"/>
      <c r="R43" s="257"/>
    </row>
    <row r="44" spans="1:21" ht="14.25" customHeight="1" x14ac:dyDescent="0.2">
      <c r="A44" s="1236"/>
      <c r="B44" s="1238"/>
      <c r="C44" s="309"/>
      <c r="D44" s="1722"/>
      <c r="E44" s="1387"/>
      <c r="F44" s="1440"/>
      <c r="G44" s="1242"/>
      <c r="H44" s="1689"/>
      <c r="I44" s="24" t="s">
        <v>58</v>
      </c>
      <c r="J44" s="260">
        <f>270+7.8</f>
        <v>277.8</v>
      </c>
      <c r="K44" s="102"/>
      <c r="L44" s="260"/>
      <c r="M44" s="260"/>
      <c r="N44" s="1283" t="s">
        <v>137</v>
      </c>
      <c r="O44" s="174">
        <v>1</v>
      </c>
      <c r="P44" s="386"/>
      <c r="Q44" s="167"/>
      <c r="R44" s="257"/>
    </row>
    <row r="45" spans="1:21" ht="9.75" customHeight="1" x14ac:dyDescent="0.2">
      <c r="A45" s="1236"/>
      <c r="B45" s="1238"/>
      <c r="C45" s="309"/>
      <c r="D45" s="1688"/>
      <c r="E45" s="1398"/>
      <c r="F45" s="1440"/>
      <c r="G45" s="1242"/>
      <c r="H45" s="1689"/>
      <c r="I45" s="63"/>
      <c r="J45" s="104"/>
      <c r="K45" s="101"/>
      <c r="L45" s="104"/>
      <c r="M45" s="104"/>
      <c r="N45" s="737"/>
      <c r="O45" s="77"/>
      <c r="P45" s="440"/>
      <c r="Q45" s="169"/>
      <c r="R45" s="217"/>
    </row>
    <row r="46" spans="1:21" ht="19.5" customHeight="1" x14ac:dyDescent="0.2">
      <c r="A46" s="1236"/>
      <c r="B46" s="1238"/>
      <c r="C46" s="310"/>
      <c r="D46" s="1687" t="s">
        <v>35</v>
      </c>
      <c r="E46" s="1373" t="s">
        <v>128</v>
      </c>
      <c r="F46" s="1440"/>
      <c r="G46" s="1443"/>
      <c r="H46" s="1689"/>
      <c r="I46" s="58" t="s">
        <v>24</v>
      </c>
      <c r="J46" s="1035">
        <f>21-12.9</f>
        <v>8.1</v>
      </c>
      <c r="K46" s="1047">
        <v>804</v>
      </c>
      <c r="L46" s="260"/>
      <c r="M46" s="260"/>
      <c r="N46" s="1263" t="s">
        <v>94</v>
      </c>
      <c r="O46" s="174">
        <v>1</v>
      </c>
      <c r="P46" s="459"/>
      <c r="Q46" s="168"/>
      <c r="R46" s="201"/>
    </row>
    <row r="47" spans="1:21" ht="27" customHeight="1" x14ac:dyDescent="0.2">
      <c r="A47" s="1236"/>
      <c r="B47" s="1238"/>
      <c r="C47" s="1289"/>
      <c r="D47" s="1688"/>
      <c r="E47" s="1398"/>
      <c r="F47" s="1440"/>
      <c r="G47" s="1443"/>
      <c r="H47" s="1689"/>
      <c r="I47" s="283" t="s">
        <v>58</v>
      </c>
      <c r="J47" s="421">
        <f>179+8-187</f>
        <v>0</v>
      </c>
      <c r="K47" s="613"/>
      <c r="L47" s="104"/>
      <c r="M47" s="104"/>
      <c r="N47" s="618" t="s">
        <v>150</v>
      </c>
      <c r="O47" s="77"/>
      <c r="P47" s="440">
        <v>100</v>
      </c>
      <c r="Q47" s="169"/>
      <c r="R47" s="217"/>
      <c r="U47" s="241"/>
    </row>
    <row r="48" spans="1:21" ht="15" customHeight="1" x14ac:dyDescent="0.2">
      <c r="A48" s="1236"/>
      <c r="B48" s="1238"/>
      <c r="C48" s="310"/>
      <c r="D48" s="1687" t="s">
        <v>28</v>
      </c>
      <c r="E48" s="1392" t="s">
        <v>111</v>
      </c>
      <c r="F48" s="1394" t="s">
        <v>102</v>
      </c>
      <c r="G48" s="1391"/>
      <c r="H48" s="1654"/>
      <c r="I48" s="58" t="s">
        <v>24</v>
      </c>
      <c r="J48" s="103"/>
      <c r="K48" s="127">
        <v>274.8</v>
      </c>
      <c r="L48" s="103">
        <v>736.8</v>
      </c>
      <c r="M48" s="103"/>
      <c r="N48" s="1263" t="s">
        <v>94</v>
      </c>
      <c r="O48" s="135">
        <v>1</v>
      </c>
      <c r="P48" s="167"/>
      <c r="Q48" s="167"/>
      <c r="R48" s="257"/>
    </row>
    <row r="49" spans="1:21" ht="26.25" customHeight="1" x14ac:dyDescent="0.2">
      <c r="A49" s="1236"/>
      <c r="B49" s="1238"/>
      <c r="C49" s="1289"/>
      <c r="D49" s="1688"/>
      <c r="E49" s="1393"/>
      <c r="F49" s="1395"/>
      <c r="G49" s="1391"/>
      <c r="H49" s="1654"/>
      <c r="I49" s="283" t="s">
        <v>58</v>
      </c>
      <c r="J49" s="421">
        <f>244+17-242</f>
        <v>19</v>
      </c>
      <c r="K49" s="101"/>
      <c r="L49" s="104"/>
      <c r="M49" s="104"/>
      <c r="N49" s="146" t="s">
        <v>116</v>
      </c>
      <c r="O49" s="137"/>
      <c r="P49" s="1305">
        <v>25</v>
      </c>
      <c r="Q49" s="1305">
        <v>70</v>
      </c>
      <c r="R49" s="1306">
        <v>100</v>
      </c>
    </row>
    <row r="50" spans="1:21" ht="27" customHeight="1" x14ac:dyDescent="0.2">
      <c r="A50" s="1236"/>
      <c r="B50" s="1238"/>
      <c r="C50" s="309"/>
      <c r="D50" s="1687" t="s">
        <v>36</v>
      </c>
      <c r="E50" s="1373" t="s">
        <v>184</v>
      </c>
      <c r="F50" s="1394" t="s">
        <v>138</v>
      </c>
      <c r="G50" s="1242"/>
      <c r="H50" s="1689"/>
      <c r="I50" s="58" t="s">
        <v>24</v>
      </c>
      <c r="J50" s="1056">
        <f>400+8.4+6.5</f>
        <v>414.9</v>
      </c>
      <c r="K50" s="127"/>
      <c r="L50" s="103"/>
      <c r="M50" s="103"/>
      <c r="N50" s="1273" t="s">
        <v>150</v>
      </c>
      <c r="O50" s="175">
        <v>100</v>
      </c>
      <c r="P50" s="459"/>
      <c r="Q50" s="168"/>
      <c r="R50" s="201"/>
      <c r="U50" s="241"/>
    </row>
    <row r="51" spans="1:21" ht="15.75" customHeight="1" x14ac:dyDescent="0.2">
      <c r="A51" s="1236"/>
      <c r="B51" s="1238"/>
      <c r="C51" s="309"/>
      <c r="D51" s="1688"/>
      <c r="E51" s="1398"/>
      <c r="F51" s="1437"/>
      <c r="G51" s="1296"/>
      <c r="H51" s="1689"/>
      <c r="I51" s="59" t="s">
        <v>24</v>
      </c>
      <c r="J51" s="104"/>
      <c r="K51" s="101"/>
      <c r="L51" s="613"/>
      <c r="M51" s="104"/>
      <c r="N51" s="737"/>
      <c r="O51" s="77"/>
      <c r="P51" s="440"/>
      <c r="Q51" s="169"/>
      <c r="R51" s="217"/>
    </row>
    <row r="52" spans="1:21" ht="15.75" customHeight="1" x14ac:dyDescent="0.2">
      <c r="A52" s="1236"/>
      <c r="B52" s="1238"/>
      <c r="C52" s="310"/>
      <c r="D52" s="1687" t="s">
        <v>29</v>
      </c>
      <c r="E52" s="1392" t="s">
        <v>132</v>
      </c>
      <c r="F52" s="1692"/>
      <c r="G52" s="1391"/>
      <c r="H52" s="1654"/>
      <c r="I52" s="58" t="s">
        <v>24</v>
      </c>
      <c r="J52" s="103"/>
      <c r="K52" s="103">
        <v>100</v>
      </c>
      <c r="L52" s="102">
        <v>370</v>
      </c>
      <c r="M52" s="260"/>
      <c r="N52" s="1263" t="s">
        <v>94</v>
      </c>
      <c r="O52" s="135">
        <v>1</v>
      </c>
      <c r="P52" s="168"/>
      <c r="Q52" s="168"/>
      <c r="R52" s="201"/>
    </row>
    <row r="53" spans="1:21" ht="26.25" customHeight="1" x14ac:dyDescent="0.2">
      <c r="A53" s="1236"/>
      <c r="B53" s="1238"/>
      <c r="C53" s="1289"/>
      <c r="D53" s="1688"/>
      <c r="E53" s="1393"/>
      <c r="F53" s="1437"/>
      <c r="G53" s="1391"/>
      <c r="H53" s="1654"/>
      <c r="I53" s="283" t="s">
        <v>58</v>
      </c>
      <c r="J53" s="104">
        <v>20</v>
      </c>
      <c r="K53" s="101"/>
      <c r="L53" s="613"/>
      <c r="M53" s="104"/>
      <c r="N53" s="146" t="s">
        <v>117</v>
      </c>
      <c r="O53" s="137"/>
      <c r="P53" s="137">
        <v>20</v>
      </c>
      <c r="Q53" s="169">
        <v>100</v>
      </c>
      <c r="R53" s="217"/>
      <c r="T53" s="241"/>
    </row>
    <row r="54" spans="1:21" ht="15" customHeight="1" x14ac:dyDescent="0.2">
      <c r="A54" s="1236"/>
      <c r="B54" s="1238"/>
      <c r="C54" s="310"/>
      <c r="D54" s="1687" t="s">
        <v>63</v>
      </c>
      <c r="E54" s="1392" t="s">
        <v>197</v>
      </c>
      <c r="F54" s="1394" t="s">
        <v>102</v>
      </c>
      <c r="G54" s="1391"/>
      <c r="H54" s="1654"/>
      <c r="I54" s="58" t="s">
        <v>24</v>
      </c>
      <c r="J54" s="103"/>
      <c r="K54" s="127">
        <v>0</v>
      </c>
      <c r="L54" s="103">
        <v>0</v>
      </c>
      <c r="M54" s="103"/>
      <c r="N54" s="1263" t="s">
        <v>94</v>
      </c>
      <c r="O54" s="135">
        <v>1</v>
      </c>
      <c r="P54" s="167"/>
      <c r="Q54" s="167"/>
      <c r="R54" s="257"/>
    </row>
    <row r="55" spans="1:21" ht="25.5" customHeight="1" x14ac:dyDescent="0.2">
      <c r="A55" s="1236"/>
      <c r="B55" s="1238"/>
      <c r="C55" s="1289"/>
      <c r="D55" s="1688"/>
      <c r="E55" s="1393"/>
      <c r="F55" s="1395"/>
      <c r="G55" s="1391"/>
      <c r="H55" s="1654"/>
      <c r="I55" s="283" t="s">
        <v>58</v>
      </c>
      <c r="J55" s="104">
        <v>15</v>
      </c>
      <c r="K55" s="101"/>
      <c r="L55" s="104"/>
      <c r="M55" s="104"/>
      <c r="N55" s="146" t="s">
        <v>319</v>
      </c>
      <c r="O55" s="137"/>
      <c r="P55" s="169"/>
      <c r="Q55" s="169"/>
      <c r="R55" s="217"/>
      <c r="T55" s="241"/>
    </row>
    <row r="56" spans="1:21" ht="13.5" customHeight="1" x14ac:dyDescent="0.2">
      <c r="A56" s="1236"/>
      <c r="B56" s="1238"/>
      <c r="C56" s="309"/>
      <c r="D56" s="1687" t="s">
        <v>166</v>
      </c>
      <c r="E56" s="1373" t="s">
        <v>134</v>
      </c>
      <c r="F56" s="1394" t="s">
        <v>138</v>
      </c>
      <c r="G56" s="1242"/>
      <c r="H56" s="1689"/>
      <c r="I56" s="58" t="s">
        <v>49</v>
      </c>
      <c r="J56" s="103"/>
      <c r="K56" s="127"/>
      <c r="L56" s="103"/>
      <c r="M56" s="103"/>
      <c r="N56" s="1263" t="s">
        <v>94</v>
      </c>
      <c r="O56" s="168"/>
      <c r="P56" s="175"/>
      <c r="Q56" s="168"/>
      <c r="R56" s="201"/>
    </row>
    <row r="57" spans="1:21" ht="26.25" customHeight="1" x14ac:dyDescent="0.2">
      <c r="A57" s="1236"/>
      <c r="B57" s="1238"/>
      <c r="C57" s="309"/>
      <c r="D57" s="1688"/>
      <c r="E57" s="1398"/>
      <c r="F57" s="1645"/>
      <c r="G57" s="1296"/>
      <c r="H57" s="1689"/>
      <c r="I57" s="59" t="s">
        <v>24</v>
      </c>
      <c r="J57" s="104"/>
      <c r="K57" s="101"/>
      <c r="L57" s="104"/>
      <c r="M57" s="104"/>
      <c r="N57" s="146" t="s">
        <v>116</v>
      </c>
      <c r="O57" s="137"/>
      <c r="P57" s="176"/>
      <c r="Q57" s="169"/>
      <c r="R57" s="217"/>
      <c r="T57" s="241"/>
    </row>
    <row r="58" spans="1:21" ht="18" customHeight="1" x14ac:dyDescent="0.2">
      <c r="A58" s="1236"/>
      <c r="B58" s="1238"/>
      <c r="C58" s="1289"/>
      <c r="D58" s="1239" t="s">
        <v>182</v>
      </c>
      <c r="E58" s="1387" t="s">
        <v>240</v>
      </c>
      <c r="F58" s="1394" t="s">
        <v>138</v>
      </c>
      <c r="G58" s="1242"/>
      <c r="H58" s="1293"/>
      <c r="I58" s="24" t="s">
        <v>24</v>
      </c>
      <c r="J58" s="260"/>
      <c r="K58" s="102"/>
      <c r="L58" s="260">
        <v>100</v>
      </c>
      <c r="M58" s="260"/>
      <c r="N58" s="1444" t="s">
        <v>241</v>
      </c>
      <c r="O58" s="666"/>
      <c r="P58" s="203"/>
      <c r="Q58" s="666">
        <v>30</v>
      </c>
      <c r="R58" s="490"/>
    </row>
    <row r="59" spans="1:21" ht="21.75" customHeight="1" x14ac:dyDescent="0.2">
      <c r="A59" s="1236"/>
      <c r="B59" s="1238"/>
      <c r="C59" s="1289"/>
      <c r="D59" s="223"/>
      <c r="E59" s="1436"/>
      <c r="F59" s="1437"/>
      <c r="G59" s="1296"/>
      <c r="H59" s="1282"/>
      <c r="I59" s="59"/>
      <c r="J59" s="104"/>
      <c r="K59" s="101"/>
      <c r="L59" s="104"/>
      <c r="M59" s="104"/>
      <c r="N59" s="1445"/>
      <c r="O59" s="667"/>
      <c r="P59" s="450"/>
      <c r="Q59" s="667"/>
      <c r="R59" s="554"/>
    </row>
    <row r="60" spans="1:21" ht="18.75" customHeight="1" thickBot="1" x14ac:dyDescent="0.25">
      <c r="A60" s="1259"/>
      <c r="B60" s="268"/>
      <c r="C60" s="302"/>
      <c r="D60" s="305"/>
      <c r="E60" s="306"/>
      <c r="F60" s="307"/>
      <c r="G60" s="308"/>
      <c r="H60" s="304"/>
      <c r="I60" s="23" t="s">
        <v>6</v>
      </c>
      <c r="J60" s="177">
        <f>SUM(J15:J59)</f>
        <v>1221.4000000000001</v>
      </c>
      <c r="K60" s="177">
        <f>SUM(K15:K59)</f>
        <v>1524.5</v>
      </c>
      <c r="L60" s="177">
        <f>SUM(L15:L59)</f>
        <v>1522.5</v>
      </c>
      <c r="M60" s="177">
        <f>SUM(M15:M59)</f>
        <v>315.7</v>
      </c>
      <c r="N60" s="303"/>
      <c r="O60" s="311"/>
      <c r="P60" s="318"/>
      <c r="Q60" s="311"/>
      <c r="R60" s="570"/>
      <c r="U60" s="241"/>
    </row>
    <row r="61" spans="1:21" ht="27" customHeight="1" x14ac:dyDescent="0.2">
      <c r="A61" s="1236" t="s">
        <v>5</v>
      </c>
      <c r="B61" s="1243" t="s">
        <v>5</v>
      </c>
      <c r="C61" s="1289" t="s">
        <v>7</v>
      </c>
      <c r="D61" s="73"/>
      <c r="E61" s="85" t="s">
        <v>53</v>
      </c>
      <c r="F61" s="84"/>
      <c r="G61" s="1258" t="s">
        <v>27</v>
      </c>
      <c r="H61" s="1712" t="s">
        <v>74</v>
      </c>
      <c r="I61" s="60"/>
      <c r="J61" s="99"/>
      <c r="K61" s="99"/>
      <c r="L61" s="150"/>
      <c r="M61" s="150"/>
      <c r="N61" s="575"/>
      <c r="O61" s="141"/>
      <c r="P61" s="547"/>
      <c r="Q61" s="1213"/>
      <c r="R61" s="555"/>
    </row>
    <row r="62" spans="1:21" ht="27.75" customHeight="1" x14ac:dyDescent="0.2">
      <c r="A62" s="1388"/>
      <c r="B62" s="1438"/>
      <c r="C62" s="1670"/>
      <c r="D62" s="1397" t="s">
        <v>5</v>
      </c>
      <c r="E62" s="1373" t="s">
        <v>68</v>
      </c>
      <c r="F62" s="1441"/>
      <c r="G62" s="1434"/>
      <c r="H62" s="1713"/>
      <c r="I62" s="7" t="s">
        <v>24</v>
      </c>
      <c r="J62" s="126">
        <f>2632.1-16.6-15</f>
        <v>2600.5</v>
      </c>
      <c r="K62" s="1055">
        <f>2833.3-150</f>
        <v>2683.3</v>
      </c>
      <c r="L62" s="103">
        <v>2833.3</v>
      </c>
      <c r="M62" s="103">
        <v>2833.3</v>
      </c>
      <c r="N62" s="702" t="s">
        <v>210</v>
      </c>
      <c r="O62" s="629">
        <v>8.6</v>
      </c>
      <c r="P62" s="630">
        <v>8.6</v>
      </c>
      <c r="Q62" s="347">
        <v>8.6</v>
      </c>
      <c r="R62" s="348">
        <v>8.6</v>
      </c>
    </row>
    <row r="63" spans="1:21" ht="24.75" customHeight="1" x14ac:dyDescent="0.2">
      <c r="A63" s="1388"/>
      <c r="B63" s="1438"/>
      <c r="C63" s="1670"/>
      <c r="D63" s="1397"/>
      <c r="E63" s="1647"/>
      <c r="F63" s="1442"/>
      <c r="G63" s="1434"/>
      <c r="H63" s="1713"/>
      <c r="I63" s="425" t="s">
        <v>58</v>
      </c>
      <c r="J63" s="1307">
        <v>132.19999999999999</v>
      </c>
      <c r="K63" s="147"/>
      <c r="L63" s="105"/>
      <c r="M63" s="105"/>
      <c r="N63" s="631" t="s">
        <v>164</v>
      </c>
      <c r="O63" s="535">
        <v>445</v>
      </c>
      <c r="P63" s="535">
        <v>445</v>
      </c>
      <c r="Q63" s="535">
        <v>445</v>
      </c>
      <c r="R63" s="564">
        <v>445</v>
      </c>
    </row>
    <row r="64" spans="1:21" ht="18" customHeight="1" x14ac:dyDescent="0.2">
      <c r="A64" s="1388"/>
      <c r="B64" s="1438"/>
      <c r="C64" s="1670"/>
      <c r="D64" s="1664" t="s">
        <v>7</v>
      </c>
      <c r="E64" s="1392" t="s">
        <v>37</v>
      </c>
      <c r="F64" s="1244"/>
      <c r="G64" s="1242"/>
      <c r="H64" s="1654"/>
      <c r="I64" s="7" t="s">
        <v>24</v>
      </c>
      <c r="J64" s="126">
        <f>127.4+10+15</f>
        <v>152.4</v>
      </c>
      <c r="K64" s="110">
        <v>127.4</v>
      </c>
      <c r="L64" s="103">
        <v>127.4</v>
      </c>
      <c r="M64" s="103">
        <v>127.4</v>
      </c>
      <c r="N64" s="576" t="s">
        <v>39</v>
      </c>
      <c r="O64" s="974">
        <v>46</v>
      </c>
      <c r="P64" s="80">
        <v>46</v>
      </c>
      <c r="Q64" s="974">
        <v>46</v>
      </c>
      <c r="R64" s="443">
        <v>46</v>
      </c>
    </row>
    <row r="65" spans="1:20" ht="24.75" customHeight="1" x14ac:dyDescent="0.2">
      <c r="A65" s="1388"/>
      <c r="B65" s="1438"/>
      <c r="C65" s="1670"/>
      <c r="D65" s="1397"/>
      <c r="E65" s="1460"/>
      <c r="F65" s="1245"/>
      <c r="G65" s="1242"/>
      <c r="H65" s="1654"/>
      <c r="I65" s="1280" t="s">
        <v>40</v>
      </c>
      <c r="J65" s="125">
        <v>2</v>
      </c>
      <c r="K65" s="932">
        <v>2</v>
      </c>
      <c r="L65" s="260">
        <v>2</v>
      </c>
      <c r="M65" s="260">
        <v>2</v>
      </c>
      <c r="N65" s="1251" t="s">
        <v>69</v>
      </c>
      <c r="O65" s="1032">
        <v>1500</v>
      </c>
      <c r="P65" s="1033">
        <v>1500</v>
      </c>
      <c r="Q65" s="1032">
        <v>1500</v>
      </c>
      <c r="R65" s="1034">
        <v>1500</v>
      </c>
    </row>
    <row r="66" spans="1:20" ht="40.5" customHeight="1" x14ac:dyDescent="0.2">
      <c r="A66" s="1236"/>
      <c r="B66" s="1243"/>
      <c r="C66" s="1289"/>
      <c r="D66" s="1239"/>
      <c r="E66" s="1252"/>
      <c r="F66" s="1245"/>
      <c r="G66" s="1242"/>
      <c r="H66" s="1284"/>
      <c r="I66" s="1280"/>
      <c r="J66" s="125"/>
      <c r="K66" s="932"/>
      <c r="L66" s="260"/>
      <c r="M66" s="260"/>
      <c r="N66" s="1283" t="s">
        <v>369</v>
      </c>
      <c r="O66" s="383">
        <v>1</v>
      </c>
      <c r="P66" s="142"/>
      <c r="Q66" s="383"/>
      <c r="R66" s="329"/>
    </row>
    <row r="67" spans="1:20" ht="31.5" customHeight="1" x14ac:dyDescent="0.2">
      <c r="A67" s="1236"/>
      <c r="B67" s="1243"/>
      <c r="C67" s="1289"/>
      <c r="D67" s="1239"/>
      <c r="E67" s="1252"/>
      <c r="F67" s="1245"/>
      <c r="G67" s="1242"/>
      <c r="H67" s="1284"/>
      <c r="I67" s="1280" t="s">
        <v>87</v>
      </c>
      <c r="J67" s="100">
        <v>1.8</v>
      </c>
      <c r="K67" s="613"/>
      <c r="L67" s="104"/>
      <c r="M67" s="104"/>
      <c r="N67" s="1271" t="s">
        <v>368</v>
      </c>
      <c r="O67" s="1143"/>
      <c r="P67" s="1142">
        <v>1</v>
      </c>
      <c r="Q67" s="1214"/>
      <c r="R67" s="1030"/>
    </row>
    <row r="68" spans="1:20" ht="16.5" customHeight="1" x14ac:dyDescent="0.2">
      <c r="A68" s="1236"/>
      <c r="B68" s="1243"/>
      <c r="C68" s="1289"/>
      <c r="D68" s="1287" t="s">
        <v>26</v>
      </c>
      <c r="E68" s="1392" t="s">
        <v>115</v>
      </c>
      <c r="F68" s="1232"/>
      <c r="G68" s="1242"/>
      <c r="H68" s="1284"/>
      <c r="I68" s="686" t="s">
        <v>24</v>
      </c>
      <c r="J68" s="126">
        <f>30.2+16.6</f>
        <v>46.8</v>
      </c>
      <c r="K68" s="110">
        <v>46.9</v>
      </c>
      <c r="L68" s="103">
        <v>46.9</v>
      </c>
      <c r="M68" s="103">
        <v>46.9</v>
      </c>
      <c r="N68" s="577" t="s">
        <v>142</v>
      </c>
      <c r="O68" s="244" t="s">
        <v>251</v>
      </c>
      <c r="P68" s="243" t="s">
        <v>251</v>
      </c>
      <c r="Q68" s="244" t="s">
        <v>251</v>
      </c>
      <c r="R68" s="245" t="s">
        <v>251</v>
      </c>
    </row>
    <row r="69" spans="1:20" ht="40.5" customHeight="1" x14ac:dyDescent="0.2">
      <c r="A69" s="1236"/>
      <c r="B69" s="1243"/>
      <c r="C69" s="1289"/>
      <c r="D69" s="1239"/>
      <c r="E69" s="1447"/>
      <c r="F69" s="1233"/>
      <c r="G69" s="1242"/>
      <c r="H69" s="1284"/>
      <c r="I69" s="283" t="s">
        <v>58</v>
      </c>
      <c r="J69" s="125"/>
      <c r="K69" s="932"/>
      <c r="L69" s="260"/>
      <c r="M69" s="260"/>
      <c r="N69" s="130" t="s">
        <v>143</v>
      </c>
      <c r="O69" s="292" t="s">
        <v>112</v>
      </c>
      <c r="P69" s="1031" t="s">
        <v>112</v>
      </c>
      <c r="Q69" s="292" t="s">
        <v>112</v>
      </c>
      <c r="R69" s="191" t="s">
        <v>112</v>
      </c>
    </row>
    <row r="70" spans="1:20" ht="35.25" customHeight="1" x14ac:dyDescent="0.2">
      <c r="A70" s="1236"/>
      <c r="B70" s="1243"/>
      <c r="C70" s="1289"/>
      <c r="D70" s="1287" t="s">
        <v>34</v>
      </c>
      <c r="E70" s="1237" t="s">
        <v>57</v>
      </c>
      <c r="F70" s="1233"/>
      <c r="G70" s="1242"/>
      <c r="H70" s="1284"/>
      <c r="I70" s="22" t="s">
        <v>24</v>
      </c>
      <c r="J70" s="189">
        <v>95</v>
      </c>
      <c r="K70" s="163">
        <v>95</v>
      </c>
      <c r="L70" s="106">
        <v>95</v>
      </c>
      <c r="M70" s="106">
        <v>95</v>
      </c>
      <c r="N70" s="319" t="s">
        <v>38</v>
      </c>
      <c r="O70" s="320">
        <v>11</v>
      </c>
      <c r="P70" s="320">
        <v>11</v>
      </c>
      <c r="Q70" s="320">
        <v>11</v>
      </c>
      <c r="R70" s="321">
        <v>11</v>
      </c>
    </row>
    <row r="71" spans="1:20" ht="35.25" customHeight="1" x14ac:dyDescent="0.2">
      <c r="A71" s="1236"/>
      <c r="B71" s="1243"/>
      <c r="C71" s="1289"/>
      <c r="D71" s="1287" t="s">
        <v>35</v>
      </c>
      <c r="E71" s="1237" t="s">
        <v>288</v>
      </c>
      <c r="F71" s="1233"/>
      <c r="G71" s="1296"/>
      <c r="H71" s="427"/>
      <c r="I71" s="22" t="s">
        <v>24</v>
      </c>
      <c r="J71" s="1310">
        <f>200-185</f>
        <v>15</v>
      </c>
      <c r="K71" s="1311">
        <v>100</v>
      </c>
      <c r="L71" s="106"/>
      <c r="M71" s="106"/>
      <c r="N71" s="692" t="s">
        <v>250</v>
      </c>
      <c r="O71" s="1314">
        <v>10</v>
      </c>
      <c r="P71" s="1314">
        <v>100</v>
      </c>
      <c r="Q71" s="320"/>
      <c r="R71" s="321"/>
    </row>
    <row r="72" spans="1:20" ht="16.5" customHeight="1" thickBot="1" x14ac:dyDescent="0.25">
      <c r="A72" s="27"/>
      <c r="B72" s="1260"/>
      <c r="C72" s="302"/>
      <c r="D72" s="305"/>
      <c r="E72" s="306"/>
      <c r="F72" s="307"/>
      <c r="G72" s="314"/>
      <c r="H72" s="304"/>
      <c r="I72" s="23" t="s">
        <v>6</v>
      </c>
      <c r="J72" s="177">
        <f>SUM(J62:J71)</f>
        <v>3045.7</v>
      </c>
      <c r="K72" s="177">
        <f>SUM(K62:K71)</f>
        <v>3054.6</v>
      </c>
      <c r="L72" s="177">
        <f>SUM(L62:L71)</f>
        <v>3104.6</v>
      </c>
      <c r="M72" s="177">
        <f>SUM(M62:M71)</f>
        <v>3104.6</v>
      </c>
      <c r="N72" s="303"/>
      <c r="O72" s="318"/>
      <c r="P72" s="318"/>
      <c r="Q72" s="311"/>
      <c r="R72" s="570"/>
    </row>
    <row r="73" spans="1:20" ht="25.5" customHeight="1" x14ac:dyDescent="0.2">
      <c r="A73" s="1255" t="s">
        <v>5</v>
      </c>
      <c r="B73" s="1256" t="s">
        <v>5</v>
      </c>
      <c r="C73" s="317" t="s">
        <v>26</v>
      </c>
      <c r="D73" s="74"/>
      <c r="E73" s="89" t="s">
        <v>54</v>
      </c>
      <c r="F73" s="119"/>
      <c r="G73" s="1258" t="s">
        <v>27</v>
      </c>
      <c r="H73" s="75"/>
      <c r="I73" s="60"/>
      <c r="J73" s="150"/>
      <c r="K73" s="151"/>
      <c r="L73" s="151"/>
      <c r="M73" s="151"/>
      <c r="N73" s="76"/>
      <c r="O73" s="141"/>
      <c r="P73" s="547"/>
      <c r="Q73" s="1213"/>
      <c r="R73" s="555"/>
    </row>
    <row r="74" spans="1:20" ht="30" customHeight="1" x14ac:dyDescent="0.2">
      <c r="A74" s="1236"/>
      <c r="B74" s="1243"/>
      <c r="C74" s="309"/>
      <c r="D74" s="1239" t="s">
        <v>5</v>
      </c>
      <c r="E74" s="1373" t="s">
        <v>327</v>
      </c>
      <c r="F74" s="390"/>
      <c r="G74" s="1242"/>
      <c r="H74" s="426"/>
      <c r="I74" s="58"/>
      <c r="J74" s="103"/>
      <c r="K74" s="697"/>
      <c r="L74" s="697"/>
      <c r="M74" s="697"/>
      <c r="N74" s="1247" t="s">
        <v>296</v>
      </c>
      <c r="O74" s="203">
        <v>60</v>
      </c>
      <c r="P74" s="546">
        <v>80</v>
      </c>
      <c r="Q74" s="666">
        <v>100</v>
      </c>
      <c r="R74" s="490">
        <v>100</v>
      </c>
      <c r="T74" s="241"/>
    </row>
    <row r="75" spans="1:20" ht="40.5" customHeight="1" x14ac:dyDescent="0.2">
      <c r="A75" s="1236"/>
      <c r="B75" s="1243"/>
      <c r="C75" s="309"/>
      <c r="D75" s="1239"/>
      <c r="E75" s="1647"/>
      <c r="F75" s="694"/>
      <c r="G75" s="1242"/>
      <c r="H75" s="698" t="s">
        <v>295</v>
      </c>
      <c r="I75" s="636" t="s">
        <v>24</v>
      </c>
      <c r="J75" s="157">
        <f>2+2</f>
        <v>4</v>
      </c>
      <c r="K75" s="637">
        <v>4</v>
      </c>
      <c r="L75" s="637">
        <v>4</v>
      </c>
      <c r="M75" s="637">
        <v>4</v>
      </c>
      <c r="N75" s="699" t="s">
        <v>211</v>
      </c>
      <c r="O75" s="293">
        <v>4</v>
      </c>
      <c r="P75" s="465">
        <v>4</v>
      </c>
      <c r="Q75" s="975">
        <v>4</v>
      </c>
      <c r="R75" s="558">
        <v>4</v>
      </c>
    </row>
    <row r="76" spans="1:20" ht="17.25" customHeight="1" x14ac:dyDescent="0.2">
      <c r="A76" s="1236"/>
      <c r="B76" s="1243"/>
      <c r="C76" s="309"/>
      <c r="D76" s="1239"/>
      <c r="E76" s="1281"/>
      <c r="F76" s="694"/>
      <c r="G76" s="1242"/>
      <c r="H76" s="1646" t="s">
        <v>80</v>
      </c>
      <c r="I76" s="24" t="s">
        <v>24</v>
      </c>
      <c r="J76" s="260">
        <v>1</v>
      </c>
      <c r="K76" s="260">
        <v>1</v>
      </c>
      <c r="L76" s="260">
        <v>1</v>
      </c>
      <c r="M76" s="260">
        <v>1</v>
      </c>
      <c r="N76" s="1279" t="s">
        <v>175</v>
      </c>
      <c r="O76" s="139">
        <v>40</v>
      </c>
      <c r="P76" s="454">
        <v>40</v>
      </c>
      <c r="Q76" s="976">
        <v>40</v>
      </c>
      <c r="R76" s="483">
        <v>40</v>
      </c>
    </row>
    <row r="77" spans="1:20" ht="24" customHeight="1" x14ac:dyDescent="0.2">
      <c r="A77" s="1236"/>
      <c r="B77" s="1243"/>
      <c r="C77" s="309"/>
      <c r="D77" s="1239"/>
      <c r="E77" s="1235"/>
      <c r="F77" s="694"/>
      <c r="G77" s="1242"/>
      <c r="H77" s="1649"/>
      <c r="I77" s="59" t="s">
        <v>24</v>
      </c>
      <c r="J77" s="104">
        <v>3</v>
      </c>
      <c r="K77" s="152">
        <v>3</v>
      </c>
      <c r="L77" s="152">
        <v>3</v>
      </c>
      <c r="M77" s="152">
        <v>3</v>
      </c>
      <c r="N77" s="225" t="s">
        <v>174</v>
      </c>
      <c r="O77" s="633">
        <v>15</v>
      </c>
      <c r="P77" s="633">
        <v>15</v>
      </c>
      <c r="Q77" s="961">
        <v>15</v>
      </c>
      <c r="R77" s="634">
        <v>15</v>
      </c>
    </row>
    <row r="78" spans="1:20" ht="37.5" customHeight="1" x14ac:dyDescent="0.2">
      <c r="A78" s="1236"/>
      <c r="B78" s="1243"/>
      <c r="C78" s="309"/>
      <c r="D78" s="1239"/>
      <c r="E78" s="589" t="s">
        <v>226</v>
      </c>
      <c r="F78" s="590"/>
      <c r="G78" s="591"/>
      <c r="H78" s="1646" t="s">
        <v>74</v>
      </c>
      <c r="I78" s="592" t="s">
        <v>24</v>
      </c>
      <c r="J78" s="106">
        <f>91.9-21.1-66.3</f>
        <v>4.5</v>
      </c>
      <c r="K78" s="593">
        <v>70.8</v>
      </c>
      <c r="L78" s="593"/>
      <c r="M78" s="593"/>
      <c r="N78" s="594" t="s">
        <v>186</v>
      </c>
      <c r="O78" s="333"/>
      <c r="P78" s="548">
        <v>1</v>
      </c>
      <c r="Q78" s="1215"/>
      <c r="R78" s="556"/>
    </row>
    <row r="79" spans="1:20" ht="39.75" customHeight="1" x14ac:dyDescent="0.2">
      <c r="A79" s="1236"/>
      <c r="B79" s="1243"/>
      <c r="C79" s="309"/>
      <c r="D79" s="1239"/>
      <c r="E79" s="595" t="s">
        <v>227</v>
      </c>
      <c r="F79" s="590"/>
      <c r="G79" s="591"/>
      <c r="H79" s="1646"/>
      <c r="I79" s="596"/>
      <c r="J79" s="598"/>
      <c r="K79" s="599"/>
      <c r="L79" s="599"/>
      <c r="M79" s="599"/>
      <c r="N79" s="1264" t="s">
        <v>187</v>
      </c>
      <c r="O79" s="139"/>
      <c r="P79" s="454"/>
      <c r="Q79" s="976"/>
      <c r="R79" s="483"/>
    </row>
    <row r="80" spans="1:20" ht="14.1" customHeight="1" x14ac:dyDescent="0.2">
      <c r="A80" s="1236"/>
      <c r="B80" s="1243"/>
      <c r="C80" s="309"/>
      <c r="D80" s="1239"/>
      <c r="E80" s="1235"/>
      <c r="F80" s="87"/>
      <c r="G80" s="1242"/>
      <c r="H80" s="1299"/>
      <c r="I80" s="636" t="s">
        <v>24</v>
      </c>
      <c r="J80" s="157">
        <v>57.2</v>
      </c>
      <c r="K80" s="637"/>
      <c r="L80" s="637"/>
      <c r="M80" s="637"/>
      <c r="N80" s="635" t="s">
        <v>200</v>
      </c>
      <c r="O80" s="293">
        <v>1</v>
      </c>
      <c r="P80" s="465"/>
      <c r="Q80" s="975"/>
      <c r="R80" s="558"/>
    </row>
    <row r="81" spans="1:18" ht="14.25" customHeight="1" x14ac:dyDescent="0.2">
      <c r="A81" s="1236"/>
      <c r="B81" s="1243"/>
      <c r="C81" s="309"/>
      <c r="D81" s="1239"/>
      <c r="E81" s="1235"/>
      <c r="F81" s="87"/>
      <c r="G81" s="1242"/>
      <c r="H81" s="1294"/>
      <c r="I81" s="638" t="s">
        <v>24</v>
      </c>
      <c r="J81" s="158"/>
      <c r="K81" s="1315">
        <f>200-150</f>
        <v>50</v>
      </c>
      <c r="L81" s="1315">
        <v>150</v>
      </c>
      <c r="M81" s="612"/>
      <c r="N81" s="430" t="s">
        <v>201</v>
      </c>
      <c r="O81" s="248"/>
      <c r="P81" s="464"/>
      <c r="Q81" s="1316">
        <v>3</v>
      </c>
      <c r="R81" s="561"/>
    </row>
    <row r="82" spans="1:18" ht="13.5" customHeight="1" x14ac:dyDescent="0.2">
      <c r="A82" s="1236"/>
      <c r="B82" s="1243"/>
      <c r="C82" s="309"/>
      <c r="D82" s="1239"/>
      <c r="E82" s="1235"/>
      <c r="F82" s="87"/>
      <c r="G82" s="1242"/>
      <c r="H82" s="1294"/>
      <c r="I82" s="24"/>
      <c r="J82" s="260"/>
      <c r="K82" s="680"/>
      <c r="L82" s="680"/>
      <c r="M82" s="680"/>
      <c r="N82" s="296" t="s">
        <v>202</v>
      </c>
      <c r="O82" s="139"/>
      <c r="P82" s="454"/>
      <c r="Q82" s="976"/>
      <c r="R82" s="483"/>
    </row>
    <row r="83" spans="1:18" ht="24.75" customHeight="1" x14ac:dyDescent="0.2">
      <c r="A83" s="1236"/>
      <c r="B83" s="1243"/>
      <c r="C83" s="309"/>
      <c r="D83" s="1239"/>
      <c r="E83" s="1235"/>
      <c r="F83" s="87"/>
      <c r="G83" s="1242"/>
      <c r="H83" s="1294"/>
      <c r="I83" s="63"/>
      <c r="J83" s="105"/>
      <c r="K83" s="674"/>
      <c r="L83" s="674"/>
      <c r="M83" s="674"/>
      <c r="N83" s="958" t="s">
        <v>203</v>
      </c>
      <c r="O83" s="205"/>
      <c r="P83" s="463"/>
      <c r="Q83" s="978"/>
      <c r="R83" s="559"/>
    </row>
    <row r="84" spans="1:18" ht="12.75" customHeight="1" x14ac:dyDescent="0.2">
      <c r="A84" s="1236"/>
      <c r="B84" s="1243"/>
      <c r="C84" s="309"/>
      <c r="D84" s="1239"/>
      <c r="E84" s="1235"/>
      <c r="F84" s="87"/>
      <c r="G84" s="1242"/>
      <c r="H84" s="1294"/>
      <c r="I84" s="24" t="s">
        <v>24</v>
      </c>
      <c r="J84" s="260"/>
      <c r="K84" s="680"/>
      <c r="L84" s="1053">
        <f>150-150</f>
        <v>0</v>
      </c>
      <c r="M84" s="1053">
        <v>150</v>
      </c>
      <c r="N84" s="1269" t="s">
        <v>199</v>
      </c>
      <c r="O84" s="248"/>
      <c r="P84" s="464"/>
      <c r="Q84" s="977"/>
      <c r="R84" s="1317">
        <v>2</v>
      </c>
    </row>
    <row r="85" spans="1:18" ht="12.75" customHeight="1" x14ac:dyDescent="0.2">
      <c r="A85" s="1236"/>
      <c r="B85" s="1243"/>
      <c r="C85" s="309"/>
      <c r="D85" s="1239"/>
      <c r="E85" s="1235"/>
      <c r="F85" s="87"/>
      <c r="G85" s="1242"/>
      <c r="H85" s="1294"/>
      <c r="I85" s="24" t="s">
        <v>24</v>
      </c>
      <c r="J85" s="260"/>
      <c r="K85" s="680"/>
      <c r="L85" s="680"/>
      <c r="M85" s="680"/>
      <c r="N85" s="1279" t="s">
        <v>312</v>
      </c>
      <c r="O85" s="139"/>
      <c r="P85" s="454"/>
      <c r="Q85" s="976"/>
      <c r="R85" s="483"/>
    </row>
    <row r="86" spans="1:18" ht="9" customHeight="1" x14ac:dyDescent="0.2">
      <c r="A86" s="1236"/>
      <c r="B86" s="1243"/>
      <c r="C86" s="309"/>
      <c r="D86" s="1239"/>
      <c r="E86" s="1235"/>
      <c r="F86" s="87"/>
      <c r="G86" s="1242"/>
      <c r="H86" s="1299"/>
      <c r="I86" s="695"/>
      <c r="J86" s="104"/>
      <c r="K86" s="152"/>
      <c r="L86" s="152"/>
      <c r="M86" s="152"/>
      <c r="N86" s="225"/>
      <c r="O86" s="140"/>
      <c r="P86" s="549"/>
      <c r="Q86" s="1216"/>
      <c r="R86" s="560"/>
    </row>
    <row r="87" spans="1:18" ht="53.25" customHeight="1" x14ac:dyDescent="0.2">
      <c r="A87" s="1236"/>
      <c r="B87" s="1243"/>
      <c r="C87" s="309"/>
      <c r="D87" s="1239"/>
      <c r="E87" s="1025" t="s">
        <v>204</v>
      </c>
      <c r="F87" s="1233" t="s">
        <v>65</v>
      </c>
      <c r="G87" s="1242"/>
      <c r="H87" s="1280"/>
      <c r="I87" s="24" t="s">
        <v>24</v>
      </c>
      <c r="J87" s="260"/>
      <c r="K87" s="680"/>
      <c r="L87" s="680"/>
      <c r="M87" s="680"/>
      <c r="N87" s="958" t="s">
        <v>305</v>
      </c>
      <c r="O87" s="334"/>
      <c r="P87" s="462"/>
      <c r="Q87" s="1217"/>
      <c r="R87" s="557"/>
    </row>
    <row r="88" spans="1:18" ht="21.75" customHeight="1" x14ac:dyDescent="0.2">
      <c r="A88" s="1236"/>
      <c r="B88" s="1243"/>
      <c r="C88" s="309"/>
      <c r="D88" s="1239"/>
      <c r="E88" s="1387" t="s">
        <v>208</v>
      </c>
      <c r="F88" s="95"/>
      <c r="G88" s="1242"/>
      <c r="H88" s="1646"/>
      <c r="I88" s="58" t="s">
        <v>24</v>
      </c>
      <c r="J88" s="103"/>
      <c r="K88" s="153"/>
      <c r="L88" s="153"/>
      <c r="M88" s="153"/>
      <c r="N88" s="1516" t="s">
        <v>304</v>
      </c>
      <c r="O88" s="203"/>
      <c r="P88" s="546"/>
      <c r="Q88" s="666"/>
      <c r="R88" s="490"/>
    </row>
    <row r="89" spans="1:18" ht="23.25" customHeight="1" x14ac:dyDescent="0.2">
      <c r="A89" s="1236"/>
      <c r="B89" s="1243"/>
      <c r="C89" s="309"/>
      <c r="D89" s="1239"/>
      <c r="E89" s="1387"/>
      <c r="F89" s="95"/>
      <c r="G89" s="1242"/>
      <c r="H89" s="1646"/>
      <c r="I89" s="63"/>
      <c r="J89" s="105"/>
      <c r="K89" s="888"/>
      <c r="L89" s="888"/>
      <c r="M89" s="888"/>
      <c r="N89" s="1530"/>
      <c r="O89" s="205"/>
      <c r="P89" s="463"/>
      <c r="Q89" s="978"/>
      <c r="R89" s="559"/>
    </row>
    <row r="90" spans="1:18" ht="31.5" customHeight="1" x14ac:dyDescent="0.2">
      <c r="A90" s="1236"/>
      <c r="B90" s="1243"/>
      <c r="C90" s="309"/>
      <c r="D90" s="1239"/>
      <c r="E90" s="1235"/>
      <c r="F90" s="95"/>
      <c r="G90" s="1242"/>
      <c r="H90" s="1280"/>
      <c r="I90" s="59" t="s">
        <v>58</v>
      </c>
      <c r="J90" s="104">
        <f>19.4+16.6</f>
        <v>36</v>
      </c>
      <c r="K90" s="696"/>
      <c r="L90" s="696"/>
      <c r="M90" s="696"/>
      <c r="N90" s="225" t="s">
        <v>317</v>
      </c>
      <c r="O90" s="140">
        <v>2</v>
      </c>
      <c r="P90" s="549"/>
      <c r="Q90" s="1216"/>
      <c r="R90" s="560"/>
    </row>
    <row r="91" spans="1:18" ht="29.25" customHeight="1" x14ac:dyDescent="0.2">
      <c r="A91" s="1236"/>
      <c r="B91" s="1243"/>
      <c r="C91" s="1289"/>
      <c r="D91" s="120" t="s">
        <v>7</v>
      </c>
      <c r="E91" s="1373" t="s">
        <v>114</v>
      </c>
      <c r="F91" s="923"/>
      <c r="G91" s="889"/>
      <c r="H91" s="1648" t="s">
        <v>74</v>
      </c>
      <c r="I91" s="686" t="s">
        <v>24</v>
      </c>
      <c r="J91" s="103">
        <v>10</v>
      </c>
      <c r="K91" s="153">
        <v>10</v>
      </c>
      <c r="L91" s="153">
        <v>10</v>
      </c>
      <c r="M91" s="153">
        <v>10</v>
      </c>
      <c r="N91" s="1444" t="s">
        <v>209</v>
      </c>
      <c r="O91" s="203">
        <v>1</v>
      </c>
      <c r="P91" s="546">
        <v>1</v>
      </c>
      <c r="Q91" s="666">
        <v>1</v>
      </c>
      <c r="R91" s="490">
        <v>1</v>
      </c>
    </row>
    <row r="92" spans="1:18" ht="22.5" customHeight="1" x14ac:dyDescent="0.2">
      <c r="A92" s="1236"/>
      <c r="B92" s="1243"/>
      <c r="C92" s="309"/>
      <c r="D92" s="1288"/>
      <c r="E92" s="1398"/>
      <c r="F92" s="1250"/>
      <c r="G92" s="1296"/>
      <c r="H92" s="1649"/>
      <c r="I92" s="22"/>
      <c r="J92" s="104"/>
      <c r="K92" s="152"/>
      <c r="L92" s="152"/>
      <c r="M92" s="152"/>
      <c r="N92" s="1445"/>
      <c r="O92" s="77"/>
      <c r="P92" s="458"/>
      <c r="Q92" s="137"/>
      <c r="R92" s="197"/>
    </row>
    <row r="93" spans="1:18" ht="15.75" customHeight="1" x14ac:dyDescent="0.2">
      <c r="A93" s="1236"/>
      <c r="B93" s="1243"/>
      <c r="C93" s="309"/>
      <c r="D93" s="1287" t="s">
        <v>26</v>
      </c>
      <c r="E93" s="1373" t="s">
        <v>86</v>
      </c>
      <c r="F93" s="1450" t="s">
        <v>65</v>
      </c>
      <c r="G93" s="1242"/>
      <c r="H93" s="1654" t="s">
        <v>80</v>
      </c>
      <c r="I93" s="686" t="s">
        <v>24</v>
      </c>
      <c r="J93" s="155">
        <f>751.6-21</f>
        <v>730.6</v>
      </c>
      <c r="K93" s="154">
        <v>730.6</v>
      </c>
      <c r="L93" s="154">
        <v>730.6</v>
      </c>
      <c r="M93" s="154">
        <v>730.6</v>
      </c>
      <c r="N93" s="344" t="s">
        <v>119</v>
      </c>
      <c r="O93" s="341">
        <v>22.5</v>
      </c>
      <c r="P93" s="790">
        <v>22.5</v>
      </c>
      <c r="Q93" s="980">
        <v>22.5</v>
      </c>
      <c r="R93" s="791">
        <v>22.5</v>
      </c>
    </row>
    <row r="94" spans="1:18" ht="15.75" customHeight="1" x14ac:dyDescent="0.2">
      <c r="A94" s="1236"/>
      <c r="B94" s="1243"/>
      <c r="C94" s="309"/>
      <c r="D94" s="70"/>
      <c r="E94" s="1387"/>
      <c r="F94" s="1451"/>
      <c r="G94" s="1242"/>
      <c r="H94" s="1655"/>
      <c r="I94" s="1280" t="s">
        <v>87</v>
      </c>
      <c r="J94" s="260"/>
      <c r="K94" s="680"/>
      <c r="L94" s="680"/>
      <c r="M94" s="680"/>
      <c r="N94" s="1226" t="s">
        <v>120</v>
      </c>
      <c r="O94" s="342">
        <v>108</v>
      </c>
      <c r="P94" s="455">
        <v>108</v>
      </c>
      <c r="Q94" s="1218">
        <v>108</v>
      </c>
      <c r="R94" s="484">
        <v>108</v>
      </c>
    </row>
    <row r="95" spans="1:18" ht="15.75" customHeight="1" x14ac:dyDescent="0.2">
      <c r="A95" s="1236"/>
      <c r="B95" s="1238"/>
      <c r="C95" s="1289"/>
      <c r="D95" s="1239"/>
      <c r="E95" s="1387"/>
      <c r="F95" s="1451"/>
      <c r="G95" s="1242"/>
      <c r="H95" s="1655"/>
      <c r="I95" s="1280" t="s">
        <v>24</v>
      </c>
      <c r="J95" s="260"/>
      <c r="K95" s="680"/>
      <c r="L95" s="680"/>
      <c r="M95" s="680"/>
      <c r="N95" s="204" t="s">
        <v>118</v>
      </c>
      <c r="O95" s="346">
        <v>5</v>
      </c>
      <c r="P95" s="467">
        <v>5</v>
      </c>
      <c r="Q95" s="1219">
        <v>5</v>
      </c>
      <c r="R95" s="562">
        <v>5</v>
      </c>
    </row>
    <row r="96" spans="1:18" ht="15" customHeight="1" x14ac:dyDescent="0.2">
      <c r="A96" s="1236"/>
      <c r="B96" s="1243"/>
      <c r="C96" s="309"/>
      <c r="D96" s="70"/>
      <c r="E96" s="1387"/>
      <c r="F96" s="1451"/>
      <c r="G96" s="1242"/>
      <c r="H96" s="1655"/>
      <c r="I96" s="1280" t="s">
        <v>40</v>
      </c>
      <c r="J96" s="260">
        <v>7.7</v>
      </c>
      <c r="K96" s="680">
        <v>7.7</v>
      </c>
      <c r="L96" s="680">
        <v>7.7</v>
      </c>
      <c r="M96" s="680">
        <v>7.7</v>
      </c>
      <c r="N96" s="1653" t="s">
        <v>193</v>
      </c>
      <c r="O96" s="32">
        <v>1</v>
      </c>
      <c r="P96" s="160">
        <v>1</v>
      </c>
      <c r="Q96" s="256">
        <v>1</v>
      </c>
      <c r="R96" s="326">
        <v>1</v>
      </c>
    </row>
    <row r="97" spans="1:19" ht="12.75" customHeight="1" x14ac:dyDescent="0.2">
      <c r="A97" s="1236"/>
      <c r="B97" s="1243"/>
      <c r="C97" s="309"/>
      <c r="D97" s="70"/>
      <c r="E97" s="397"/>
      <c r="F97" s="1451"/>
      <c r="G97" s="1242"/>
      <c r="H97" s="1655"/>
      <c r="I97" s="283"/>
      <c r="J97" s="104"/>
      <c r="K97" s="152"/>
      <c r="L97" s="152"/>
      <c r="M97" s="152"/>
      <c r="N97" s="1561"/>
      <c r="O97" s="242"/>
      <c r="P97" s="461"/>
      <c r="Q97" s="444"/>
      <c r="R97" s="641"/>
    </row>
    <row r="98" spans="1:19" ht="29.25" customHeight="1" x14ac:dyDescent="0.2">
      <c r="A98" s="1236"/>
      <c r="B98" s="1243"/>
      <c r="C98" s="309"/>
      <c r="D98" s="70"/>
      <c r="E98" s="1373" t="s">
        <v>281</v>
      </c>
      <c r="F98" s="1249"/>
      <c r="G98" s="1242"/>
      <c r="H98" s="1284"/>
      <c r="I98" s="686"/>
      <c r="J98" s="103"/>
      <c r="K98" s="153"/>
      <c r="L98" s="153"/>
      <c r="M98" s="153"/>
      <c r="N98" s="344" t="s">
        <v>148</v>
      </c>
      <c r="O98" s="676">
        <v>1</v>
      </c>
      <c r="P98" s="677">
        <v>1</v>
      </c>
      <c r="Q98" s="1220">
        <v>1</v>
      </c>
      <c r="R98" s="678">
        <v>1</v>
      </c>
    </row>
    <row r="99" spans="1:19" ht="29.25" customHeight="1" x14ac:dyDescent="0.2">
      <c r="A99" s="1236"/>
      <c r="B99" s="1243"/>
      <c r="C99" s="309"/>
      <c r="D99" s="70"/>
      <c r="E99" s="1387"/>
      <c r="F99" s="1249"/>
      <c r="G99" s="1242"/>
      <c r="H99" s="1284"/>
      <c r="I99" s="1280" t="s">
        <v>24</v>
      </c>
      <c r="J99" s="260">
        <v>6.1</v>
      </c>
      <c r="K99" s="680"/>
      <c r="L99" s="680"/>
      <c r="M99" s="680"/>
      <c r="N99" s="687" t="s">
        <v>276</v>
      </c>
      <c r="O99" s="891">
        <v>1</v>
      </c>
      <c r="P99" s="688"/>
      <c r="Q99" s="1221"/>
      <c r="R99" s="689"/>
    </row>
    <row r="100" spans="1:19" ht="30" customHeight="1" x14ac:dyDescent="0.2">
      <c r="A100" s="1236"/>
      <c r="B100" s="1243"/>
      <c r="C100" s="309"/>
      <c r="D100" s="70"/>
      <c r="E100" s="1647"/>
      <c r="F100" s="1249"/>
      <c r="G100" s="1242"/>
      <c r="H100" s="1284"/>
      <c r="I100" s="283" t="s">
        <v>24</v>
      </c>
      <c r="J100" s="104"/>
      <c r="K100" s="152">
        <v>24.2</v>
      </c>
      <c r="L100" s="152"/>
      <c r="M100" s="152"/>
      <c r="N100" s="690" t="s">
        <v>255</v>
      </c>
      <c r="O100" s="382"/>
      <c r="P100" s="382">
        <v>1</v>
      </c>
      <c r="Q100" s="963"/>
      <c r="R100" s="691"/>
      <c r="S100" s="241"/>
    </row>
    <row r="101" spans="1:19" ht="12.75" customHeight="1" x14ac:dyDescent="0.2">
      <c r="A101" s="1236"/>
      <c r="B101" s="1243"/>
      <c r="C101" s="309"/>
      <c r="D101" s="70"/>
      <c r="E101" s="1373" t="s">
        <v>280</v>
      </c>
      <c r="F101" s="431"/>
      <c r="G101" s="1242"/>
      <c r="H101" s="1285"/>
      <c r="I101" s="1280"/>
      <c r="J101" s="260"/>
      <c r="K101" s="680"/>
      <c r="L101" s="680"/>
      <c r="M101" s="680"/>
      <c r="N101" s="432" t="s">
        <v>205</v>
      </c>
      <c r="O101" s="284"/>
      <c r="P101" s="262"/>
      <c r="Q101" s="901"/>
      <c r="R101" s="482"/>
    </row>
    <row r="102" spans="1:19" ht="16.5" customHeight="1" x14ac:dyDescent="0.2">
      <c r="A102" s="1236"/>
      <c r="B102" s="1243"/>
      <c r="C102" s="309"/>
      <c r="D102" s="1239"/>
      <c r="E102" s="1647"/>
      <c r="F102" s="1249"/>
      <c r="G102" s="1242"/>
      <c r="H102" s="1284"/>
      <c r="I102" s="425" t="s">
        <v>24</v>
      </c>
      <c r="J102" s="105">
        <v>24.2</v>
      </c>
      <c r="K102" s="674"/>
      <c r="L102" s="674"/>
      <c r="M102" s="674"/>
      <c r="N102" s="204" t="s">
        <v>113</v>
      </c>
      <c r="O102" s="700">
        <v>2</v>
      </c>
      <c r="P102" s="642"/>
      <c r="Q102" s="535"/>
      <c r="R102" s="564"/>
    </row>
    <row r="103" spans="1:19" ht="15" customHeight="1" x14ac:dyDescent="0.2">
      <c r="A103" s="1236"/>
      <c r="B103" s="1243"/>
      <c r="C103" s="309"/>
      <c r="D103" s="70"/>
      <c r="E103" s="1647"/>
      <c r="F103" s="1249"/>
      <c r="G103" s="1242"/>
      <c r="H103" s="1284"/>
      <c r="I103" s="206" t="s">
        <v>24</v>
      </c>
      <c r="J103" s="157">
        <v>8.8000000000000007</v>
      </c>
      <c r="K103" s="637">
        <v>8.8000000000000007</v>
      </c>
      <c r="L103" s="637">
        <v>8.8000000000000007</v>
      </c>
      <c r="M103" s="637">
        <v>8.8000000000000007</v>
      </c>
      <c r="N103" s="31" t="s">
        <v>177</v>
      </c>
      <c r="O103" s="199">
        <v>60</v>
      </c>
      <c r="P103" s="469">
        <v>60</v>
      </c>
      <c r="Q103" s="617">
        <v>60</v>
      </c>
      <c r="R103" s="563">
        <v>60</v>
      </c>
    </row>
    <row r="104" spans="1:19" ht="16.5" customHeight="1" x14ac:dyDescent="0.2">
      <c r="A104" s="1236"/>
      <c r="B104" s="1243"/>
      <c r="C104" s="309"/>
      <c r="D104" s="70"/>
      <c r="E104" s="1647"/>
      <c r="F104" s="1249"/>
      <c r="G104" s="1242"/>
      <c r="H104" s="1284"/>
      <c r="I104" s="206" t="s">
        <v>24</v>
      </c>
      <c r="J104" s="157">
        <v>3</v>
      </c>
      <c r="K104" s="637">
        <v>3</v>
      </c>
      <c r="L104" s="637"/>
      <c r="M104" s="637"/>
      <c r="N104" s="487" t="s">
        <v>256</v>
      </c>
      <c r="O104" s="142">
        <v>2</v>
      </c>
      <c r="P104" s="328">
        <v>2</v>
      </c>
      <c r="Q104" s="383"/>
      <c r="R104" s="329"/>
    </row>
    <row r="105" spans="1:19" ht="17.25" customHeight="1" x14ac:dyDescent="0.2">
      <c r="A105" s="1236"/>
      <c r="B105" s="1243"/>
      <c r="C105" s="309"/>
      <c r="D105" s="70"/>
      <c r="E105" s="1647"/>
      <c r="F105" s="1249"/>
      <c r="G105" s="1242"/>
      <c r="H105" s="1284"/>
      <c r="I105" s="360" t="s">
        <v>24</v>
      </c>
      <c r="J105" s="158">
        <v>1.1000000000000001</v>
      </c>
      <c r="K105" s="612"/>
      <c r="L105" s="612"/>
      <c r="M105" s="612"/>
      <c r="N105" s="389" t="s">
        <v>253</v>
      </c>
      <c r="O105" s="199">
        <v>1</v>
      </c>
      <c r="P105" s="199"/>
      <c r="Q105" s="617"/>
      <c r="R105" s="563"/>
    </row>
    <row r="106" spans="1:19" ht="27" customHeight="1" x14ac:dyDescent="0.2">
      <c r="A106" s="1236"/>
      <c r="B106" s="1238"/>
      <c r="C106" s="1289"/>
      <c r="D106" s="1239"/>
      <c r="E106" s="1647"/>
      <c r="F106" s="1249"/>
      <c r="G106" s="1242"/>
      <c r="H106" s="1284"/>
      <c r="I106" s="1280" t="s">
        <v>24</v>
      </c>
      <c r="J106" s="260">
        <v>21.7</v>
      </c>
      <c r="K106" s="680">
        <v>21.1</v>
      </c>
      <c r="L106" s="260"/>
      <c r="M106" s="260"/>
      <c r="N106" s="389" t="s">
        <v>254</v>
      </c>
      <c r="O106" s="366">
        <v>50</v>
      </c>
      <c r="P106" s="366">
        <v>100</v>
      </c>
      <c r="Q106" s="982"/>
      <c r="R106" s="675"/>
    </row>
    <row r="107" spans="1:19" ht="18.75" customHeight="1" x14ac:dyDescent="0.2">
      <c r="A107" s="1236"/>
      <c r="B107" s="1243"/>
      <c r="C107" s="309"/>
      <c r="D107" s="70"/>
      <c r="E107" s="1647"/>
      <c r="F107" s="1249"/>
      <c r="G107" s="1242"/>
      <c r="H107" s="1284"/>
      <c r="I107" s="425"/>
      <c r="J107" s="105"/>
      <c r="K107" s="674"/>
      <c r="L107" s="674"/>
      <c r="M107" s="674"/>
      <c r="N107" s="389" t="s">
        <v>258</v>
      </c>
      <c r="O107" s="199">
        <v>1</v>
      </c>
      <c r="P107" s="199"/>
      <c r="Q107" s="617"/>
      <c r="R107" s="563"/>
    </row>
    <row r="108" spans="1:19" ht="27" customHeight="1" x14ac:dyDescent="0.2">
      <c r="A108" s="1236"/>
      <c r="B108" s="1243"/>
      <c r="C108" s="309"/>
      <c r="D108" s="70"/>
      <c r="E108" s="1647"/>
      <c r="F108" s="1249"/>
      <c r="G108" s="1242"/>
      <c r="H108" s="1284"/>
      <c r="I108" s="425" t="s">
        <v>24</v>
      </c>
      <c r="J108" s="105"/>
      <c r="K108" s="674">
        <v>37.799999999999997</v>
      </c>
      <c r="L108" s="674"/>
      <c r="M108" s="674"/>
      <c r="N108" s="204" t="s">
        <v>257</v>
      </c>
      <c r="O108" s="200"/>
      <c r="P108" s="142">
        <v>2</v>
      </c>
      <c r="Q108" s="383"/>
      <c r="R108" s="329"/>
    </row>
    <row r="109" spans="1:19" ht="41.25" customHeight="1" x14ac:dyDescent="0.2">
      <c r="A109" s="1236"/>
      <c r="B109" s="1243"/>
      <c r="C109" s="309"/>
      <c r="D109" s="70"/>
      <c r="E109" s="1235"/>
      <c r="F109" s="1249"/>
      <c r="G109" s="1242"/>
      <c r="H109" s="1284"/>
      <c r="I109" s="1209" t="s">
        <v>24</v>
      </c>
      <c r="J109" s="1039"/>
      <c r="K109" s="1210"/>
      <c r="L109" s="1210">
        <v>26.8</v>
      </c>
      <c r="M109" s="1210"/>
      <c r="N109" s="794" t="s">
        <v>252</v>
      </c>
      <c r="O109" s="240"/>
      <c r="P109" s="240"/>
      <c r="Q109" s="480">
        <v>100</v>
      </c>
      <c r="R109" s="392"/>
    </row>
    <row r="110" spans="1:19" ht="12.75" customHeight="1" x14ac:dyDescent="0.2">
      <c r="A110" s="1388"/>
      <c r="B110" s="1396"/>
      <c r="C110" s="1670"/>
      <c r="D110" s="1664" t="s">
        <v>34</v>
      </c>
      <c r="E110" s="1373" t="s">
        <v>229</v>
      </c>
      <c r="F110" s="1448"/>
      <c r="G110" s="1434"/>
      <c r="H110" s="1284"/>
      <c r="I110" s="1280" t="s">
        <v>24</v>
      </c>
      <c r="J110" s="260">
        <f>24.1-1</f>
        <v>23.1</v>
      </c>
      <c r="K110" s="680">
        <v>24.1</v>
      </c>
      <c r="L110" s="680">
        <v>24.1</v>
      </c>
      <c r="M110" s="680">
        <v>24.1</v>
      </c>
      <c r="N110" s="1229" t="s">
        <v>139</v>
      </c>
      <c r="O110" s="1199">
        <v>2</v>
      </c>
      <c r="P110" s="948">
        <v>2</v>
      </c>
      <c r="Q110" s="135">
        <v>2</v>
      </c>
      <c r="R110" s="536">
        <v>2</v>
      </c>
    </row>
    <row r="111" spans="1:19" ht="15" customHeight="1" x14ac:dyDescent="0.2">
      <c r="A111" s="1388"/>
      <c r="B111" s="1396"/>
      <c r="C111" s="1670"/>
      <c r="D111" s="1397"/>
      <c r="E111" s="1387"/>
      <c r="F111" s="1448"/>
      <c r="G111" s="1434"/>
      <c r="H111" s="1284"/>
      <c r="I111" s="1280" t="s">
        <v>40</v>
      </c>
      <c r="J111" s="260">
        <v>5</v>
      </c>
      <c r="K111" s="680">
        <v>5</v>
      </c>
      <c r="L111" s="680">
        <v>5</v>
      </c>
      <c r="M111" s="680">
        <f>+J111</f>
        <v>5</v>
      </c>
      <c r="N111" s="78" t="s">
        <v>120</v>
      </c>
      <c r="O111" s="143">
        <v>5</v>
      </c>
      <c r="P111" s="551">
        <v>5</v>
      </c>
      <c r="Q111" s="1222">
        <v>5</v>
      </c>
      <c r="R111" s="565">
        <v>5</v>
      </c>
    </row>
    <row r="112" spans="1:19" ht="12.75" customHeight="1" x14ac:dyDescent="0.2">
      <c r="A112" s="1388"/>
      <c r="B112" s="1396"/>
      <c r="C112" s="1670"/>
      <c r="D112" s="1397"/>
      <c r="E112" s="1387"/>
      <c r="F112" s="1448"/>
      <c r="G112" s="1434"/>
      <c r="H112" s="1284"/>
      <c r="I112" s="1280" t="s">
        <v>87</v>
      </c>
      <c r="J112" s="260"/>
      <c r="K112" s="680"/>
      <c r="L112" s="680"/>
      <c r="M112" s="680"/>
      <c r="N112" s="78"/>
      <c r="O112" s="143"/>
      <c r="P112" s="551"/>
      <c r="Q112" s="1222"/>
      <c r="R112" s="565"/>
    </row>
    <row r="113" spans="1:18" ht="27" customHeight="1" x14ac:dyDescent="0.2">
      <c r="A113" s="1388"/>
      <c r="B113" s="1396"/>
      <c r="C113" s="1670"/>
      <c r="D113" s="1665"/>
      <c r="E113" s="1398"/>
      <c r="F113" s="1449"/>
      <c r="G113" s="1434"/>
      <c r="H113" s="1284"/>
      <c r="I113" s="283" t="s">
        <v>24</v>
      </c>
      <c r="J113" s="104"/>
      <c r="K113" s="152"/>
      <c r="L113" s="152"/>
      <c r="M113" s="152"/>
      <c r="N113" s="1230" t="s">
        <v>185</v>
      </c>
      <c r="O113" s="77"/>
      <c r="P113" s="458"/>
      <c r="Q113" s="137"/>
      <c r="R113" s="197"/>
    </row>
    <row r="114" spans="1:18" ht="15" customHeight="1" x14ac:dyDescent="0.2">
      <c r="A114" s="1236"/>
      <c r="B114" s="1243"/>
      <c r="C114" s="1289"/>
      <c r="D114" s="1241" t="s">
        <v>35</v>
      </c>
      <c r="E114" s="1387" t="s">
        <v>62</v>
      </c>
      <c r="F114" s="1249"/>
      <c r="G114" s="1242"/>
      <c r="H114" s="1284"/>
      <c r="I114" s="686" t="s">
        <v>40</v>
      </c>
      <c r="J114" s="103">
        <v>20</v>
      </c>
      <c r="K114" s="153">
        <v>20</v>
      </c>
      <c r="L114" s="153">
        <v>20</v>
      </c>
      <c r="M114" s="153">
        <f>+J114</f>
        <v>20</v>
      </c>
      <c r="N114" s="1298" t="s">
        <v>119</v>
      </c>
      <c r="O114" s="34">
        <v>2</v>
      </c>
      <c r="P114" s="1036">
        <v>2</v>
      </c>
      <c r="Q114" s="136">
        <v>2</v>
      </c>
      <c r="R114" s="198">
        <v>2</v>
      </c>
    </row>
    <row r="115" spans="1:18" ht="18.75" customHeight="1" x14ac:dyDescent="0.2">
      <c r="A115" s="1236"/>
      <c r="B115" s="1243"/>
      <c r="C115" s="309"/>
      <c r="D115" s="1239"/>
      <c r="E115" s="1398"/>
      <c r="F115" s="1250"/>
      <c r="G115" s="1296"/>
      <c r="H115" s="427"/>
      <c r="I115" s="22" t="s">
        <v>87</v>
      </c>
      <c r="J115" s="104">
        <v>2.6</v>
      </c>
      <c r="K115" s="152"/>
      <c r="L115" s="152"/>
      <c r="M115" s="152"/>
      <c r="N115" s="1230"/>
      <c r="O115" s="77"/>
      <c r="P115" s="1037"/>
      <c r="Q115" s="135"/>
      <c r="R115" s="197"/>
    </row>
    <row r="116" spans="1:18" ht="16.5" customHeight="1" thickBot="1" x14ac:dyDescent="0.25">
      <c r="A116" s="27"/>
      <c r="B116" s="1260"/>
      <c r="C116" s="302"/>
      <c r="D116" s="305"/>
      <c r="E116" s="315"/>
      <c r="F116" s="313"/>
      <c r="G116" s="314"/>
      <c r="H116" s="304"/>
      <c r="I116" s="23" t="s">
        <v>6</v>
      </c>
      <c r="J116" s="177">
        <f>SUM(J74:J115)</f>
        <v>969.6</v>
      </c>
      <c r="K116" s="177">
        <f>SUM(K74:K115)</f>
        <v>1021.1</v>
      </c>
      <c r="L116" s="177">
        <f>SUM(L74:L115)</f>
        <v>991</v>
      </c>
      <c r="M116" s="177">
        <f>SUM(M74:M115)</f>
        <v>964.2</v>
      </c>
      <c r="N116" s="303"/>
      <c r="O116" s="318"/>
      <c r="P116" s="318"/>
      <c r="Q116" s="311"/>
      <c r="R116" s="570"/>
    </row>
    <row r="117" spans="1:18" ht="18" customHeight="1" x14ac:dyDescent="0.2">
      <c r="A117" s="1468" t="s">
        <v>5</v>
      </c>
      <c r="B117" s="1469" t="s">
        <v>5</v>
      </c>
      <c r="C117" s="1716" t="s">
        <v>34</v>
      </c>
      <c r="D117" s="1718"/>
      <c r="E117" s="1452" t="s">
        <v>55</v>
      </c>
      <c r="F117" s="1472" t="s">
        <v>108</v>
      </c>
      <c r="G117" s="1474" t="s">
        <v>27</v>
      </c>
      <c r="H117" s="68"/>
      <c r="I117" s="183"/>
      <c r="J117" s="124"/>
      <c r="K117" s="129"/>
      <c r="L117" s="129"/>
      <c r="M117" s="129"/>
      <c r="N117" s="1461"/>
      <c r="O117" s="42"/>
      <c r="P117" s="1462"/>
      <c r="Q117" s="1619"/>
      <c r="R117" s="1464"/>
    </row>
    <row r="118" spans="1:18" ht="11.25" customHeight="1" x14ac:dyDescent="0.2">
      <c r="A118" s="1388"/>
      <c r="B118" s="1438"/>
      <c r="C118" s="1670"/>
      <c r="D118" s="1719"/>
      <c r="E118" s="1471"/>
      <c r="F118" s="1473"/>
      <c r="G118" s="1434"/>
      <c r="H118" s="69"/>
      <c r="I118" s="283"/>
      <c r="J118" s="104"/>
      <c r="K118" s="613"/>
      <c r="L118" s="613"/>
      <c r="M118" s="613"/>
      <c r="N118" s="1372"/>
      <c r="O118" s="1199"/>
      <c r="P118" s="1463"/>
      <c r="Q118" s="1620"/>
      <c r="R118" s="1465"/>
    </row>
    <row r="119" spans="1:18" ht="15.75" customHeight="1" x14ac:dyDescent="0.2">
      <c r="A119" s="1388"/>
      <c r="B119" s="1396"/>
      <c r="C119" s="1670"/>
      <c r="D119" s="1664" t="s">
        <v>5</v>
      </c>
      <c r="E119" s="1387" t="s">
        <v>99</v>
      </c>
      <c r="F119" s="1466" t="s">
        <v>67</v>
      </c>
      <c r="G119" s="1434"/>
      <c r="H119" s="615"/>
      <c r="I119" s="686" t="s">
        <v>24</v>
      </c>
      <c r="J119" s="110">
        <f>1911.2-15</f>
        <v>1896.2</v>
      </c>
      <c r="K119" s="110">
        <v>2000</v>
      </c>
      <c r="L119" s="110">
        <v>2000</v>
      </c>
      <c r="M119" s="110">
        <v>2000</v>
      </c>
      <c r="N119" s="1229" t="s">
        <v>70</v>
      </c>
      <c r="O119" s="144">
        <v>16.899999999999999</v>
      </c>
      <c r="P119" s="471">
        <v>17.5</v>
      </c>
      <c r="Q119" s="984">
        <v>18.2</v>
      </c>
      <c r="R119" s="566">
        <v>18.2</v>
      </c>
    </row>
    <row r="120" spans="1:18" ht="15.75" customHeight="1" x14ac:dyDescent="0.2">
      <c r="A120" s="1388"/>
      <c r="B120" s="1396"/>
      <c r="C120" s="1670"/>
      <c r="D120" s="1665"/>
      <c r="E120" s="1398"/>
      <c r="F120" s="1467"/>
      <c r="G120" s="1434"/>
      <c r="H120" s="71"/>
      <c r="I120" s="283" t="s">
        <v>58</v>
      </c>
      <c r="J120" s="104">
        <v>110.5</v>
      </c>
      <c r="K120" s="613"/>
      <c r="L120" s="613"/>
      <c r="M120" s="613"/>
      <c r="N120" s="225" t="s">
        <v>51</v>
      </c>
      <c r="O120" s="444">
        <v>9.4</v>
      </c>
      <c r="P120" s="444">
        <v>9.6999999999999993</v>
      </c>
      <c r="Q120" s="444">
        <v>10.1</v>
      </c>
      <c r="R120" s="641">
        <v>10.1</v>
      </c>
    </row>
    <row r="121" spans="1:18" ht="16.5" customHeight="1" x14ac:dyDescent="0.2">
      <c r="A121" s="1236"/>
      <c r="B121" s="1243"/>
      <c r="C121" s="1289"/>
      <c r="D121" s="1239" t="s">
        <v>7</v>
      </c>
      <c r="E121" s="1373" t="s">
        <v>165</v>
      </c>
      <c r="F121" s="923"/>
      <c r="G121" s="1242"/>
      <c r="H121" s="1654" t="s">
        <v>73</v>
      </c>
      <c r="I121" s="1280" t="s">
        <v>24</v>
      </c>
      <c r="J121" s="103">
        <f>51.7+15</f>
        <v>66.7</v>
      </c>
      <c r="K121" s="103">
        <v>55.3</v>
      </c>
      <c r="L121" s="103">
        <v>59.2</v>
      </c>
      <c r="M121" s="103">
        <v>59.2</v>
      </c>
      <c r="N121" s="1298" t="s">
        <v>51</v>
      </c>
      <c r="O121" s="347">
        <v>0.4</v>
      </c>
      <c r="P121" s="347">
        <v>0.4</v>
      </c>
      <c r="Q121" s="347">
        <v>0.4</v>
      </c>
      <c r="R121" s="348">
        <v>0.4</v>
      </c>
    </row>
    <row r="122" spans="1:18" ht="26.25" customHeight="1" x14ac:dyDescent="0.2">
      <c r="A122" s="1236"/>
      <c r="B122" s="1243"/>
      <c r="C122" s="1289"/>
      <c r="D122" s="1239"/>
      <c r="E122" s="1387"/>
      <c r="F122" s="616"/>
      <c r="G122" s="1242"/>
      <c r="H122" s="1654"/>
      <c r="I122" s="1280" t="s">
        <v>24</v>
      </c>
      <c r="J122" s="260">
        <f>129.2-51.7+1.4</f>
        <v>78.900000000000006</v>
      </c>
      <c r="K122" s="260">
        <v>187.9</v>
      </c>
      <c r="L122" s="260">
        <v>207.9</v>
      </c>
      <c r="M122" s="260">
        <v>207.9</v>
      </c>
      <c r="N122" s="44" t="s">
        <v>325</v>
      </c>
      <c r="O122" s="617">
        <v>1206</v>
      </c>
      <c r="P122" s="617">
        <v>1206</v>
      </c>
      <c r="Q122" s="617">
        <v>1206</v>
      </c>
      <c r="R122" s="563">
        <v>1206</v>
      </c>
    </row>
    <row r="123" spans="1:18" ht="39" customHeight="1" x14ac:dyDescent="0.2">
      <c r="A123" s="1236"/>
      <c r="B123" s="1238"/>
      <c r="C123" s="1289"/>
      <c r="D123" s="1239"/>
      <c r="E123" s="1387"/>
      <c r="F123" s="616"/>
      <c r="G123" s="1242"/>
      <c r="H123" s="1654"/>
      <c r="I123" s="1280" t="s">
        <v>58</v>
      </c>
      <c r="J123" s="260">
        <v>90.4</v>
      </c>
      <c r="K123" s="102"/>
      <c r="L123" s="260"/>
      <c r="M123" s="260"/>
      <c r="N123" s="44" t="s">
        <v>326</v>
      </c>
      <c r="O123" s="902">
        <v>22.2</v>
      </c>
      <c r="P123" s="903">
        <v>22.2</v>
      </c>
      <c r="Q123" s="903">
        <v>22.2</v>
      </c>
      <c r="R123" s="904">
        <v>22.2</v>
      </c>
    </row>
    <row r="124" spans="1:18" ht="30" customHeight="1" x14ac:dyDescent="0.2">
      <c r="A124" s="1236"/>
      <c r="B124" s="1243"/>
      <c r="C124" s="1289"/>
      <c r="D124" s="1267"/>
      <c r="E124" s="1669"/>
      <c r="F124" s="1234"/>
      <c r="G124" s="1242"/>
      <c r="H124" s="1660"/>
      <c r="I124" s="283" t="s">
        <v>24</v>
      </c>
      <c r="J124" s="104">
        <v>2.1</v>
      </c>
      <c r="K124" s="104">
        <v>2.1</v>
      </c>
      <c r="L124" s="104">
        <v>2.1</v>
      </c>
      <c r="M124" s="104">
        <v>2.1</v>
      </c>
      <c r="N124" s="618" t="s">
        <v>233</v>
      </c>
      <c r="O124" s="619">
        <v>3</v>
      </c>
      <c r="P124" s="77">
        <v>3</v>
      </c>
      <c r="Q124" s="137">
        <v>3</v>
      </c>
      <c r="R124" s="197">
        <v>3</v>
      </c>
    </row>
    <row r="125" spans="1:18" ht="16.5" customHeight="1" x14ac:dyDescent="0.2">
      <c r="A125" s="1236"/>
      <c r="B125" s="1243"/>
      <c r="C125" s="1289"/>
      <c r="D125" s="1290" t="s">
        <v>26</v>
      </c>
      <c r="E125" s="1373" t="s">
        <v>299</v>
      </c>
      <c r="F125" s="1233"/>
      <c r="G125" s="1242"/>
      <c r="H125" s="1293"/>
      <c r="I125" s="1280"/>
      <c r="J125" s="260"/>
      <c r="K125" s="158"/>
      <c r="L125" s="159"/>
      <c r="M125" s="159"/>
      <c r="N125" s="1266"/>
      <c r="O125" s="579"/>
      <c r="P125" s="136"/>
      <c r="Q125" s="136"/>
      <c r="R125" s="198"/>
    </row>
    <row r="126" spans="1:18" ht="12.75" customHeight="1" x14ac:dyDescent="0.2">
      <c r="A126" s="1236"/>
      <c r="B126" s="1243"/>
      <c r="C126" s="1289"/>
      <c r="D126" s="1267"/>
      <c r="E126" s="1647"/>
      <c r="F126" s="1233"/>
      <c r="G126" s="1241"/>
      <c r="H126" s="1293"/>
      <c r="I126" s="1280"/>
      <c r="J126" s="260"/>
      <c r="K126" s="260"/>
      <c r="L126" s="932"/>
      <c r="M126" s="932"/>
      <c r="N126" s="1279"/>
      <c r="O126" s="417"/>
      <c r="P126" s="135"/>
      <c r="Q126" s="135"/>
      <c r="R126" s="536"/>
    </row>
    <row r="127" spans="1:18" ht="13.5" customHeight="1" x14ac:dyDescent="0.2">
      <c r="A127" s="1236"/>
      <c r="B127" s="1243"/>
      <c r="C127" s="1289"/>
      <c r="D127" s="1666" t="s">
        <v>265</v>
      </c>
      <c r="E127" s="1231"/>
      <c r="F127" s="1232"/>
      <c r="G127" s="1241"/>
      <c r="H127" s="1293"/>
      <c r="I127" s="686" t="s">
        <v>24</v>
      </c>
      <c r="J127" s="103">
        <v>3.4</v>
      </c>
      <c r="K127" s="110"/>
      <c r="L127" s="103"/>
      <c r="M127" s="103"/>
      <c r="N127" s="1266" t="s">
        <v>278</v>
      </c>
      <c r="O127" s="579">
        <v>9</v>
      </c>
      <c r="P127" s="136"/>
      <c r="Q127" s="136"/>
      <c r="R127" s="198"/>
    </row>
    <row r="128" spans="1:18" ht="13.5" customHeight="1" x14ac:dyDescent="0.2">
      <c r="A128" s="1236"/>
      <c r="B128" s="1243"/>
      <c r="C128" s="1289"/>
      <c r="D128" s="1486"/>
      <c r="E128" s="1235"/>
      <c r="F128" s="1233"/>
      <c r="G128" s="1241"/>
      <c r="H128" s="1293"/>
      <c r="I128" s="1280" t="s">
        <v>58</v>
      </c>
      <c r="J128" s="260">
        <v>4.7</v>
      </c>
      <c r="K128" s="932"/>
      <c r="L128" s="932"/>
      <c r="M128" s="932"/>
      <c r="N128" s="1279"/>
      <c r="O128" s="417"/>
      <c r="P128" s="135"/>
      <c r="Q128" s="135"/>
      <c r="R128" s="536"/>
    </row>
    <row r="129" spans="1:21" ht="27" customHeight="1" x14ac:dyDescent="0.2">
      <c r="A129" s="1236"/>
      <c r="B129" s="1243"/>
      <c r="C129" s="1289"/>
      <c r="D129" s="1486"/>
      <c r="E129" s="665" t="s">
        <v>260</v>
      </c>
      <c r="F129" s="1233"/>
      <c r="G129" s="1241"/>
      <c r="H129" s="1293"/>
      <c r="I129" s="1280" t="s">
        <v>24</v>
      </c>
      <c r="J129" s="1035">
        <f>119.2-1.4-8.4-28</f>
        <v>81.400000000000006</v>
      </c>
      <c r="K129" s="932"/>
      <c r="L129" s="932"/>
      <c r="M129" s="932"/>
      <c r="N129" s="1279" t="s">
        <v>264</v>
      </c>
      <c r="O129" s="417">
        <v>100</v>
      </c>
      <c r="P129" s="135"/>
      <c r="Q129" s="135"/>
      <c r="R129" s="536"/>
    </row>
    <row r="130" spans="1:21" ht="24.75" customHeight="1" x14ac:dyDescent="0.2">
      <c r="A130" s="1236"/>
      <c r="B130" s="1243"/>
      <c r="C130" s="1289"/>
      <c r="D130" s="1486"/>
      <c r="E130" s="665" t="s">
        <v>261</v>
      </c>
      <c r="F130" s="1233"/>
      <c r="G130" s="1241"/>
      <c r="H130" s="1293"/>
      <c r="I130" s="1280"/>
      <c r="J130" s="260"/>
      <c r="K130" s="932"/>
      <c r="L130" s="932"/>
      <c r="M130" s="932"/>
      <c r="N130" s="1279"/>
      <c r="O130" s="417"/>
      <c r="P130" s="417"/>
      <c r="Q130" s="135"/>
      <c r="R130" s="536"/>
    </row>
    <row r="131" spans="1:21" ht="24.75" customHeight="1" x14ac:dyDescent="0.2">
      <c r="A131" s="1236"/>
      <c r="B131" s="1243"/>
      <c r="C131" s="1289"/>
      <c r="D131" s="1486"/>
      <c r="E131" s="665" t="s">
        <v>277</v>
      </c>
      <c r="F131" s="1233"/>
      <c r="G131" s="1241"/>
      <c r="H131" s="1293"/>
      <c r="I131" s="1280"/>
      <c r="J131" s="260"/>
      <c r="K131" s="932"/>
      <c r="L131" s="260"/>
      <c r="M131" s="260"/>
      <c r="N131" s="893"/>
      <c r="O131" s="417"/>
      <c r="P131" s="135"/>
      <c r="Q131" s="135"/>
      <c r="R131" s="536"/>
    </row>
    <row r="132" spans="1:21" ht="12" customHeight="1" x14ac:dyDescent="0.2">
      <c r="A132" s="1236"/>
      <c r="B132" s="1243"/>
      <c r="C132" s="1289"/>
      <c r="D132" s="1668"/>
      <c r="E132" s="1240" t="s">
        <v>266</v>
      </c>
      <c r="F132" s="1234"/>
      <c r="G132" s="1241"/>
      <c r="H132" s="1293"/>
      <c r="I132" s="283"/>
      <c r="J132" s="104"/>
      <c r="K132" s="613"/>
      <c r="L132" s="613"/>
      <c r="M132" s="613"/>
      <c r="N132" s="351"/>
      <c r="O132" s="418"/>
      <c r="P132" s="137"/>
      <c r="Q132" s="137"/>
      <c r="R132" s="197"/>
    </row>
    <row r="133" spans="1:21" ht="15" customHeight="1" x14ac:dyDescent="0.2">
      <c r="A133" s="1236"/>
      <c r="B133" s="1243"/>
      <c r="C133" s="1289"/>
      <c r="D133" s="1666" t="s">
        <v>284</v>
      </c>
      <c r="E133" s="681"/>
      <c r="F133" s="1232"/>
      <c r="G133" s="1241"/>
      <c r="H133" s="1293"/>
      <c r="I133" s="686" t="s">
        <v>24</v>
      </c>
      <c r="J133" s="103"/>
      <c r="K133" s="110">
        <f>2+186.3+58.2-130</f>
        <v>116.5</v>
      </c>
      <c r="L133" s="110">
        <v>130</v>
      </c>
      <c r="M133" s="110">
        <v>130</v>
      </c>
      <c r="N133" s="1266" t="s">
        <v>278</v>
      </c>
      <c r="O133" s="579"/>
      <c r="P133" s="579">
        <v>2</v>
      </c>
      <c r="Q133" s="136"/>
      <c r="R133" s="198"/>
    </row>
    <row r="134" spans="1:21" ht="13.5" customHeight="1" x14ac:dyDescent="0.2">
      <c r="A134" s="1236"/>
      <c r="B134" s="1243"/>
      <c r="C134" s="1289"/>
      <c r="D134" s="1486"/>
      <c r="E134" s="679" t="s">
        <v>259</v>
      </c>
      <c r="F134" s="1233"/>
      <c r="G134" s="1241"/>
      <c r="H134" s="1293"/>
      <c r="I134" s="1280"/>
      <c r="J134" s="260"/>
      <c r="K134" s="932"/>
      <c r="L134" s="932"/>
      <c r="M134" s="932"/>
      <c r="N134" s="1279" t="s">
        <v>264</v>
      </c>
      <c r="O134" s="417"/>
      <c r="P134" s="417">
        <v>50</v>
      </c>
      <c r="Q134" s="417">
        <v>100</v>
      </c>
      <c r="R134" s="438">
        <v>100</v>
      </c>
    </row>
    <row r="135" spans="1:21" ht="25.5" customHeight="1" x14ac:dyDescent="0.2">
      <c r="A135" s="1236"/>
      <c r="B135" s="1243"/>
      <c r="C135" s="1289"/>
      <c r="D135" s="1667"/>
      <c r="E135" s="665" t="s">
        <v>262</v>
      </c>
      <c r="F135" s="1233"/>
      <c r="G135" s="1241"/>
      <c r="H135" s="1293"/>
      <c r="I135" s="1280"/>
      <c r="J135" s="260"/>
      <c r="K135" s="932"/>
      <c r="L135" s="932"/>
      <c r="M135" s="932"/>
      <c r="N135" s="1279"/>
      <c r="O135" s="417"/>
      <c r="P135" s="417"/>
      <c r="Q135" s="135"/>
      <c r="R135" s="536"/>
    </row>
    <row r="136" spans="1:21" ht="24" customHeight="1" x14ac:dyDescent="0.2">
      <c r="A136" s="1236"/>
      <c r="B136" s="1243"/>
      <c r="C136" s="1289"/>
      <c r="D136" s="1667"/>
      <c r="E136" s="665" t="s">
        <v>263</v>
      </c>
      <c r="F136" s="1233"/>
      <c r="G136" s="1241"/>
      <c r="H136" s="1293"/>
      <c r="I136" s="1280"/>
      <c r="J136" s="260"/>
      <c r="K136" s="932"/>
      <c r="L136" s="932"/>
      <c r="M136" s="932"/>
      <c r="N136" s="1279"/>
      <c r="O136" s="417"/>
      <c r="P136" s="135"/>
      <c r="Q136" s="135"/>
      <c r="R136" s="536"/>
      <c r="S136" s="241"/>
      <c r="T136" s="241"/>
      <c r="U136" s="241"/>
    </row>
    <row r="137" spans="1:21" ht="16.5" customHeight="1" x14ac:dyDescent="0.2">
      <c r="A137" s="1236"/>
      <c r="B137" s="1243"/>
      <c r="C137" s="1289"/>
      <c r="D137" s="95"/>
      <c r="E137" s="679" t="s">
        <v>361</v>
      </c>
      <c r="F137" s="1233"/>
      <c r="G137" s="1241"/>
      <c r="H137" s="1293"/>
      <c r="I137" s="1280"/>
      <c r="J137" s="260"/>
      <c r="K137" s="932"/>
      <c r="L137" s="932"/>
      <c r="M137" s="932"/>
      <c r="N137" s="1279"/>
      <c r="O137" s="417"/>
      <c r="P137" s="135"/>
      <c r="Q137" s="135"/>
      <c r="R137" s="536"/>
      <c r="S137" s="241"/>
      <c r="T137" s="241"/>
      <c r="U137" s="241"/>
    </row>
    <row r="138" spans="1:21" ht="27" customHeight="1" x14ac:dyDescent="0.2">
      <c r="A138" s="1236"/>
      <c r="B138" s="1243"/>
      <c r="C138" s="1289"/>
      <c r="D138" s="95"/>
      <c r="E138" s="665" t="s">
        <v>362</v>
      </c>
      <c r="F138" s="1233"/>
      <c r="G138" s="1241"/>
      <c r="H138" s="1293"/>
      <c r="I138" s="1280"/>
      <c r="J138" s="260"/>
      <c r="K138" s="932"/>
      <c r="L138" s="932"/>
      <c r="M138" s="932"/>
      <c r="N138" s="1279"/>
      <c r="O138" s="417"/>
      <c r="P138" s="135"/>
      <c r="Q138" s="135"/>
      <c r="R138" s="536"/>
      <c r="S138" s="241"/>
      <c r="T138" s="241"/>
      <c r="U138" s="241"/>
    </row>
    <row r="139" spans="1:21" ht="20.25" customHeight="1" x14ac:dyDescent="0.2">
      <c r="A139" s="1236"/>
      <c r="B139" s="1243"/>
      <c r="C139" s="1289"/>
      <c r="D139" s="1106"/>
      <c r="E139" s="1308" t="s">
        <v>360</v>
      </c>
      <c r="F139" s="1234"/>
      <c r="G139" s="662"/>
      <c r="H139" s="1282"/>
      <c r="I139" s="283"/>
      <c r="J139" s="104"/>
      <c r="K139" s="613"/>
      <c r="L139" s="613"/>
      <c r="M139" s="613"/>
      <c r="N139" s="225"/>
      <c r="O139" s="418"/>
      <c r="P139" s="137"/>
      <c r="Q139" s="137"/>
      <c r="R139" s="197"/>
      <c r="S139" s="241"/>
    </row>
    <row r="140" spans="1:21" ht="14.25" customHeight="1" thickBot="1" x14ac:dyDescent="0.25">
      <c r="A140" s="27"/>
      <c r="B140" s="1260"/>
      <c r="C140" s="302"/>
      <c r="D140" s="305"/>
      <c r="E140" s="315"/>
      <c r="F140" s="313"/>
      <c r="G140" s="314"/>
      <c r="H140" s="304"/>
      <c r="I140" s="23" t="s">
        <v>6</v>
      </c>
      <c r="J140" s="177">
        <f>SUM(J119:J139)</f>
        <v>2334.3000000000002</v>
      </c>
      <c r="K140" s="177">
        <f>SUM(K119:K139)</f>
        <v>2361.8000000000002</v>
      </c>
      <c r="L140" s="177">
        <f>SUM(L119:L139)</f>
        <v>2399.1999999999998</v>
      </c>
      <c r="M140" s="177">
        <f>SUM(M119:M139)</f>
        <v>2399.1999999999998</v>
      </c>
      <c r="N140" s="303"/>
      <c r="O140" s="318"/>
      <c r="P140" s="318"/>
      <c r="Q140" s="311"/>
      <c r="R140" s="570"/>
    </row>
    <row r="141" spans="1:21" ht="18.75" customHeight="1" x14ac:dyDescent="0.2">
      <c r="A141" s="1468" t="s">
        <v>5</v>
      </c>
      <c r="B141" s="1469" t="s">
        <v>5</v>
      </c>
      <c r="C141" s="1470" t="s">
        <v>35</v>
      </c>
      <c r="D141" s="1661"/>
      <c r="E141" s="1478" t="s">
        <v>291</v>
      </c>
      <c r="F141" s="1480"/>
      <c r="G141" s="1488" t="s">
        <v>50</v>
      </c>
      <c r="H141" s="1656" t="s">
        <v>75</v>
      </c>
      <c r="I141" s="422" t="s">
        <v>24</v>
      </c>
      <c r="J141" s="124">
        <f>152.3-3-11.3</f>
        <v>138</v>
      </c>
      <c r="K141" s="129">
        <v>152.30000000000001</v>
      </c>
      <c r="L141" s="129">
        <v>152.30000000000001</v>
      </c>
      <c r="M141" s="129">
        <v>152.30000000000001</v>
      </c>
      <c r="N141" s="1253" t="s">
        <v>121</v>
      </c>
      <c r="O141" s="42">
        <v>151</v>
      </c>
      <c r="P141" s="890">
        <v>151</v>
      </c>
      <c r="Q141" s="1113">
        <v>151</v>
      </c>
      <c r="R141" s="567">
        <v>151</v>
      </c>
    </row>
    <row r="142" spans="1:21" ht="16.5" customHeight="1" x14ac:dyDescent="0.2">
      <c r="A142" s="1388"/>
      <c r="B142" s="1438"/>
      <c r="C142" s="1397"/>
      <c r="D142" s="1662"/>
      <c r="E142" s="1387"/>
      <c r="F142" s="1481"/>
      <c r="G142" s="1489"/>
      <c r="H142" s="1657"/>
      <c r="I142" s="419" t="s">
        <v>58</v>
      </c>
      <c r="J142" s="104">
        <v>135.19999999999999</v>
      </c>
      <c r="K142" s="104"/>
      <c r="L142" s="104"/>
      <c r="M142" s="104"/>
      <c r="N142" s="895" t="s">
        <v>363</v>
      </c>
      <c r="O142" s="1199">
        <v>1</v>
      </c>
      <c r="P142" s="948"/>
      <c r="Q142" s="135"/>
      <c r="R142" s="536"/>
    </row>
    <row r="143" spans="1:21" ht="16.5" customHeight="1" thickBot="1" x14ac:dyDescent="0.25">
      <c r="A143" s="1475"/>
      <c r="B143" s="1476"/>
      <c r="C143" s="1477"/>
      <c r="D143" s="1663"/>
      <c r="E143" s="1479"/>
      <c r="F143" s="1482"/>
      <c r="G143" s="1490"/>
      <c r="H143" s="1658"/>
      <c r="I143" s="35" t="s">
        <v>6</v>
      </c>
      <c r="J143" s="162">
        <f t="shared" ref="J143:K143" si="0">SUM(J141:J142)</f>
        <v>273.2</v>
      </c>
      <c r="K143" s="162">
        <f t="shared" si="0"/>
        <v>152.30000000000001</v>
      </c>
      <c r="L143" s="177">
        <f t="shared" ref="L143:M143" si="1">SUM(L141:L141)</f>
        <v>152.30000000000001</v>
      </c>
      <c r="M143" s="177">
        <f t="shared" si="1"/>
        <v>152.30000000000001</v>
      </c>
      <c r="N143" s="226"/>
      <c r="O143" s="41"/>
      <c r="P143" s="460"/>
      <c r="Q143" s="410"/>
      <c r="R143" s="411"/>
    </row>
    <row r="144" spans="1:21" ht="15.75" customHeight="1" x14ac:dyDescent="0.2">
      <c r="A144" s="1468" t="s">
        <v>5</v>
      </c>
      <c r="B144" s="1469" t="s">
        <v>5</v>
      </c>
      <c r="C144" s="1470" t="s">
        <v>28</v>
      </c>
      <c r="D144" s="1661"/>
      <c r="E144" s="1478" t="s">
        <v>289</v>
      </c>
      <c r="F144" s="1480"/>
      <c r="G144" s="1488" t="s">
        <v>50</v>
      </c>
      <c r="H144" s="1656" t="s">
        <v>192</v>
      </c>
      <c r="I144" s="422" t="s">
        <v>24</v>
      </c>
      <c r="J144" s="124">
        <v>16.8</v>
      </c>
      <c r="K144" s="124">
        <v>16.8</v>
      </c>
      <c r="L144" s="124">
        <v>16.8</v>
      </c>
      <c r="M144" s="124">
        <v>16.8</v>
      </c>
      <c r="N144" s="1461" t="s">
        <v>290</v>
      </c>
      <c r="O144" s="42">
        <v>2</v>
      </c>
      <c r="P144" s="948">
        <v>2</v>
      </c>
      <c r="Q144" s="135">
        <v>2</v>
      </c>
      <c r="R144" s="536">
        <v>2</v>
      </c>
    </row>
    <row r="145" spans="1:21" ht="20.25" customHeight="1" x14ac:dyDescent="0.2">
      <c r="A145" s="1388"/>
      <c r="B145" s="1438"/>
      <c r="C145" s="1397"/>
      <c r="D145" s="1662"/>
      <c r="E145" s="1387"/>
      <c r="F145" s="1481"/>
      <c r="G145" s="1489"/>
      <c r="H145" s="1657"/>
      <c r="I145" s="419"/>
      <c r="J145" s="104"/>
      <c r="K145" s="104"/>
      <c r="L145" s="104"/>
      <c r="M145" s="104"/>
      <c r="N145" s="1659"/>
      <c r="O145" s="1199"/>
      <c r="P145" s="948"/>
      <c r="Q145" s="135"/>
      <c r="R145" s="536"/>
    </row>
    <row r="146" spans="1:21" ht="16.5" customHeight="1" thickBot="1" x14ac:dyDescent="0.25">
      <c r="A146" s="1475"/>
      <c r="B146" s="1476"/>
      <c r="C146" s="1477"/>
      <c r="D146" s="1663"/>
      <c r="E146" s="1479"/>
      <c r="F146" s="1482"/>
      <c r="G146" s="1490"/>
      <c r="H146" s="1658"/>
      <c r="I146" s="35" t="s">
        <v>6</v>
      </c>
      <c r="J146" s="162">
        <f>SUM(J144:J145)</f>
        <v>16.8</v>
      </c>
      <c r="K146" s="177">
        <f>SUM(K144:K145)</f>
        <v>16.8</v>
      </c>
      <c r="L146" s="177">
        <f>SUM(L144:L145)</f>
        <v>16.8</v>
      </c>
      <c r="M146" s="177">
        <f>SUM(M144:M145)</f>
        <v>16.8</v>
      </c>
      <c r="N146" s="226"/>
      <c r="O146" s="41"/>
      <c r="P146" s="460"/>
      <c r="Q146" s="410"/>
      <c r="R146" s="411"/>
    </row>
    <row r="147" spans="1:21" ht="20.25" customHeight="1" x14ac:dyDescent="0.2">
      <c r="A147" s="1255" t="s">
        <v>5</v>
      </c>
      <c r="B147" s="1256" t="s">
        <v>5</v>
      </c>
      <c r="C147" s="1300" t="s">
        <v>36</v>
      </c>
      <c r="D147" s="1257"/>
      <c r="E147" s="1367" t="s">
        <v>144</v>
      </c>
      <c r="F147" s="227" t="s">
        <v>47</v>
      </c>
      <c r="G147" s="1258" t="s">
        <v>46</v>
      </c>
      <c r="H147" s="1710" t="s">
        <v>76</v>
      </c>
      <c r="I147" s="66"/>
      <c r="J147" s="124"/>
      <c r="K147" s="124"/>
      <c r="L147" s="124"/>
      <c r="M147" s="124"/>
      <c r="N147" s="1497"/>
      <c r="O147" s="122"/>
      <c r="P147" s="472"/>
      <c r="Q147" s="472"/>
      <c r="R147" s="195"/>
    </row>
    <row r="148" spans="1:21" ht="21.75" customHeight="1" x14ac:dyDescent="0.2">
      <c r="A148" s="1236"/>
      <c r="B148" s="1243"/>
      <c r="C148" s="1289"/>
      <c r="D148" s="1239"/>
      <c r="E148" s="1459"/>
      <c r="F148" s="1249"/>
      <c r="G148" s="1242"/>
      <c r="H148" s="1711"/>
      <c r="I148" s="67"/>
      <c r="J148" s="260"/>
      <c r="K148" s="260"/>
      <c r="L148" s="260"/>
      <c r="M148" s="260"/>
      <c r="N148" s="1498"/>
      <c r="O148" s="123"/>
      <c r="P148" s="294"/>
      <c r="Q148" s="294"/>
      <c r="R148" s="196"/>
    </row>
    <row r="149" spans="1:21" ht="16.5" customHeight="1" x14ac:dyDescent="0.2">
      <c r="A149" s="1236"/>
      <c r="B149" s="1243"/>
      <c r="C149" s="1289"/>
      <c r="D149" s="220" t="s">
        <v>5</v>
      </c>
      <c r="E149" s="1373" t="s">
        <v>159</v>
      </c>
      <c r="F149" s="1491" t="s">
        <v>95</v>
      </c>
      <c r="G149" s="1434"/>
      <c r="H149" s="1650"/>
      <c r="I149" s="686" t="s">
        <v>24</v>
      </c>
      <c r="J149" s="103"/>
      <c r="K149" s="103">
        <v>1000.1</v>
      </c>
      <c r="L149" s="103">
        <v>1604.6</v>
      </c>
      <c r="M149" s="103"/>
      <c r="N149" s="1247" t="s">
        <v>94</v>
      </c>
      <c r="O149" s="34">
        <v>1</v>
      </c>
      <c r="P149" s="136"/>
      <c r="Q149" s="136"/>
      <c r="R149" s="198"/>
    </row>
    <row r="150" spans="1:21" ht="13.5" customHeight="1" x14ac:dyDescent="0.2">
      <c r="A150" s="1236"/>
      <c r="B150" s="1243"/>
      <c r="C150" s="1289"/>
      <c r="D150" s="221"/>
      <c r="E150" s="1387"/>
      <c r="F150" s="1492"/>
      <c r="G150" s="1434"/>
      <c r="H150" s="1651"/>
      <c r="I150" s="1280" t="s">
        <v>58</v>
      </c>
      <c r="J150" s="260">
        <v>73.099999999999994</v>
      </c>
      <c r="K150" s="260"/>
      <c r="L150" s="260"/>
      <c r="M150" s="260"/>
      <c r="N150" s="1639" t="s">
        <v>122</v>
      </c>
      <c r="O150" s="1199"/>
      <c r="P150" s="135">
        <v>30</v>
      </c>
      <c r="Q150" s="135">
        <v>60</v>
      </c>
      <c r="R150" s="536"/>
    </row>
    <row r="151" spans="1:21" ht="13.5" customHeight="1" x14ac:dyDescent="0.2">
      <c r="A151" s="1236"/>
      <c r="B151" s="1243"/>
      <c r="C151" s="1289"/>
      <c r="D151" s="221"/>
      <c r="E151" s="1387"/>
      <c r="F151" s="1492"/>
      <c r="G151" s="1434"/>
      <c r="H151" s="1652"/>
      <c r="I151" s="1280" t="s">
        <v>366</v>
      </c>
      <c r="J151" s="260"/>
      <c r="K151" s="260"/>
      <c r="L151" s="260"/>
      <c r="M151" s="260"/>
      <c r="N151" s="1639"/>
      <c r="O151" s="1199"/>
      <c r="P151" s="135"/>
      <c r="Q151" s="135"/>
      <c r="R151" s="536"/>
    </row>
    <row r="152" spans="1:21" ht="12.75" customHeight="1" x14ac:dyDescent="0.2">
      <c r="A152" s="1236"/>
      <c r="B152" s="1243"/>
      <c r="C152" s="1289"/>
      <c r="D152" s="221"/>
      <c r="E152" s="1387"/>
      <c r="F152" s="1492"/>
      <c r="G152" s="1434"/>
      <c r="H152" s="1652"/>
      <c r="I152" s="1280" t="s">
        <v>188</v>
      </c>
      <c r="J152" s="260"/>
      <c r="K152" s="260"/>
      <c r="L152" s="260">
        <v>115.6</v>
      </c>
      <c r="M152" s="260"/>
      <c r="N152" s="1505"/>
      <c r="O152" s="1199"/>
      <c r="P152" s="135"/>
      <c r="Q152" s="135"/>
      <c r="R152" s="536"/>
    </row>
    <row r="153" spans="1:21" ht="14.25" customHeight="1" x14ac:dyDescent="0.2">
      <c r="A153" s="1236"/>
      <c r="B153" s="1243"/>
      <c r="C153" s="1289"/>
      <c r="D153" s="626"/>
      <c r="E153" s="1398"/>
      <c r="F153" s="1493"/>
      <c r="G153" s="1434"/>
      <c r="H153" s="1652"/>
      <c r="I153" s="283" t="s">
        <v>48</v>
      </c>
      <c r="J153" s="104"/>
      <c r="K153" s="104"/>
      <c r="L153" s="104">
        <v>1309.9000000000001</v>
      </c>
      <c r="M153" s="104"/>
      <c r="N153" s="1248"/>
      <c r="O153" s="77"/>
      <c r="P153" s="137"/>
      <c r="Q153" s="137"/>
      <c r="R153" s="197"/>
    </row>
    <row r="154" spans="1:21" ht="14.25" customHeight="1" x14ac:dyDescent="0.2">
      <c r="A154" s="1236"/>
      <c r="B154" s="1243"/>
      <c r="C154" s="1289"/>
      <c r="D154" s="1671" t="s">
        <v>7</v>
      </c>
      <c r="E154" s="1373" t="s">
        <v>194</v>
      </c>
      <c r="F154" s="1494" t="s">
        <v>64</v>
      </c>
      <c r="G154" s="1434"/>
      <c r="H154" s="1293"/>
      <c r="I154" s="686" t="s">
        <v>24</v>
      </c>
      <c r="J154" s="103">
        <v>26</v>
      </c>
      <c r="K154" s="103">
        <v>215.8</v>
      </c>
      <c r="L154" s="103">
        <v>133.1</v>
      </c>
      <c r="M154" s="103"/>
      <c r="N154" s="1247" t="s">
        <v>94</v>
      </c>
      <c r="O154" s="34">
        <v>1</v>
      </c>
      <c r="P154" s="136"/>
      <c r="Q154" s="136"/>
      <c r="R154" s="198"/>
    </row>
    <row r="155" spans="1:21" ht="13.5" customHeight="1" x14ac:dyDescent="0.2">
      <c r="A155" s="1236"/>
      <c r="B155" s="1243"/>
      <c r="C155" s="1289"/>
      <c r="D155" s="1521"/>
      <c r="E155" s="1387"/>
      <c r="F155" s="1495"/>
      <c r="G155" s="1434"/>
      <c r="H155" s="1293"/>
      <c r="I155" s="1280" t="s">
        <v>58</v>
      </c>
      <c r="J155" s="907">
        <f>322.5+20.3-15</f>
        <v>327.8</v>
      </c>
      <c r="K155" s="260"/>
      <c r="L155" s="260"/>
      <c r="M155" s="260"/>
      <c r="N155" s="1502" t="s">
        <v>123</v>
      </c>
      <c r="O155" s="1070">
        <v>0</v>
      </c>
      <c r="P155" s="135">
        <v>50</v>
      </c>
      <c r="Q155" s="135">
        <v>100</v>
      </c>
      <c r="R155" s="536"/>
    </row>
    <row r="156" spans="1:21" ht="13.5" customHeight="1" x14ac:dyDescent="0.2">
      <c r="A156" s="1236"/>
      <c r="B156" s="1243"/>
      <c r="C156" s="1289"/>
      <c r="D156" s="1521"/>
      <c r="E156" s="1387"/>
      <c r="F156" s="1495"/>
      <c r="G156" s="1434"/>
      <c r="H156" s="1293"/>
      <c r="I156" s="1280" t="s">
        <v>285</v>
      </c>
      <c r="J156" s="1358">
        <v>0</v>
      </c>
      <c r="K156" s="1035">
        <f>214.3+85.4</f>
        <v>299.7</v>
      </c>
      <c r="L156" s="260">
        <v>129.1</v>
      </c>
      <c r="M156" s="260"/>
      <c r="N156" s="1502"/>
      <c r="O156" s="1199"/>
      <c r="P156" s="135"/>
      <c r="Q156" s="135"/>
      <c r="R156" s="536"/>
    </row>
    <row r="157" spans="1:21" ht="15" customHeight="1" x14ac:dyDescent="0.2">
      <c r="A157" s="1236"/>
      <c r="B157" s="1243"/>
      <c r="C157" s="1289"/>
      <c r="D157" s="1521"/>
      <c r="E157" s="1387"/>
      <c r="F157" s="1495"/>
      <c r="G157" s="1434"/>
      <c r="H157" s="1293"/>
      <c r="I157" s="1280" t="s">
        <v>286</v>
      </c>
      <c r="J157" s="1357">
        <f>969.9-1.6-968.3</f>
        <v>0</v>
      </c>
      <c r="K157" s="1035">
        <f>2427.9+968.3</f>
        <v>3396.2</v>
      </c>
      <c r="L157" s="260">
        <v>1462.6</v>
      </c>
      <c r="M157" s="260"/>
      <c r="N157" s="1505"/>
      <c r="O157" s="1199"/>
      <c r="P157" s="135"/>
      <c r="Q157" s="135"/>
      <c r="R157" s="536"/>
    </row>
    <row r="158" spans="1:21" ht="15.75" customHeight="1" x14ac:dyDescent="0.2">
      <c r="A158" s="1236"/>
      <c r="B158" s="1243"/>
      <c r="C158" s="1289"/>
      <c r="D158" s="1671" t="s">
        <v>26</v>
      </c>
      <c r="E158" s="1373" t="s">
        <v>320</v>
      </c>
      <c r="F158" s="1504" t="s">
        <v>301</v>
      </c>
      <c r="G158" s="1434"/>
      <c r="H158" s="1126"/>
      <c r="I158" s="686" t="s">
        <v>24</v>
      </c>
      <c r="J158" s="260">
        <v>0</v>
      </c>
      <c r="K158" s="103">
        <v>316.3</v>
      </c>
      <c r="L158" s="103">
        <v>378.6</v>
      </c>
      <c r="M158" s="103"/>
      <c r="N158" s="1247" t="s">
        <v>94</v>
      </c>
      <c r="O158" s="34"/>
      <c r="P158" s="136"/>
      <c r="Q158" s="136"/>
      <c r="R158" s="198"/>
    </row>
    <row r="159" spans="1:21" ht="16.5" customHeight="1" x14ac:dyDescent="0.2">
      <c r="A159" s="1236"/>
      <c r="B159" s="1243"/>
      <c r="C159" s="1289"/>
      <c r="D159" s="1521"/>
      <c r="E159" s="1387"/>
      <c r="F159" s="1501"/>
      <c r="G159" s="1434"/>
      <c r="H159" s="1126"/>
      <c r="I159" s="1280" t="s">
        <v>286</v>
      </c>
      <c r="J159" s="1035">
        <f>120.4-120.2</f>
        <v>0.2</v>
      </c>
      <c r="K159" s="1035">
        <f>961.8+120.2</f>
        <v>1082</v>
      </c>
      <c r="L159" s="260">
        <v>1322.3</v>
      </c>
      <c r="M159" s="260"/>
      <c r="N159" s="1263" t="s">
        <v>124</v>
      </c>
      <c r="O159" s="1070">
        <v>0</v>
      </c>
      <c r="P159" s="135">
        <v>35</v>
      </c>
      <c r="Q159" s="135">
        <v>100</v>
      </c>
      <c r="R159" s="536"/>
      <c r="S159" s="1362" t="s">
        <v>24</v>
      </c>
      <c r="T159" s="1363">
        <f>J149+J154+J158+J165+J168+J172+J176+J180</f>
        <v>145.1</v>
      </c>
      <c r="U159" s="1363">
        <f>K149+K154+K158+K165+K168+K172+K176+K180</f>
        <v>2426.4</v>
      </c>
    </row>
    <row r="160" spans="1:21" ht="18" customHeight="1" x14ac:dyDescent="0.2">
      <c r="A160" s="1236"/>
      <c r="B160" s="1243"/>
      <c r="C160" s="1289"/>
      <c r="D160" s="1521"/>
      <c r="E160" s="1387"/>
      <c r="F160" s="1501"/>
      <c r="G160" s="1434"/>
      <c r="H160" s="1126"/>
      <c r="I160" s="1280" t="s">
        <v>58</v>
      </c>
      <c r="J160" s="260">
        <v>67.900000000000006</v>
      </c>
      <c r="K160" s="260"/>
      <c r="L160" s="260"/>
      <c r="M160" s="260"/>
      <c r="N160" s="1263"/>
      <c r="O160" s="1199"/>
      <c r="P160" s="135"/>
      <c r="Q160" s="135"/>
      <c r="R160" s="536"/>
      <c r="S160" s="1362" t="s">
        <v>58</v>
      </c>
      <c r="T160" s="1363">
        <f>J150+J155+J160+J164+J170+J173+J181</f>
        <v>753.9</v>
      </c>
      <c r="U160" s="1363">
        <f>K150+K155+K160+K164+K170+K173+K181</f>
        <v>0</v>
      </c>
    </row>
    <row r="161" spans="1:21" ht="13.5" customHeight="1" x14ac:dyDescent="0.2">
      <c r="A161" s="1236"/>
      <c r="B161" s="1243"/>
      <c r="C161" s="1289"/>
      <c r="D161" s="1521"/>
      <c r="E161" s="1387"/>
      <c r="F161" s="1501"/>
      <c r="G161" s="1434"/>
      <c r="H161" s="1126"/>
      <c r="I161" s="1280" t="s">
        <v>285</v>
      </c>
      <c r="J161" s="1035">
        <f>10.6-10.5</f>
        <v>0.1</v>
      </c>
      <c r="K161" s="1035">
        <f>84.9+10.5</f>
        <v>95.4</v>
      </c>
      <c r="L161" s="260">
        <v>116.7</v>
      </c>
      <c r="M161" s="260"/>
      <c r="N161" s="894"/>
      <c r="O161" s="1199"/>
      <c r="P161" s="135"/>
      <c r="Q161" s="135"/>
      <c r="R161" s="536"/>
      <c r="S161" s="1362" t="s">
        <v>366</v>
      </c>
      <c r="T161" s="1362"/>
      <c r="U161" s="1362"/>
    </row>
    <row r="162" spans="1:21" ht="13.5" customHeight="1" x14ac:dyDescent="0.2">
      <c r="A162" s="1236"/>
      <c r="B162" s="1243"/>
      <c r="C162" s="1289"/>
      <c r="D162" s="1521"/>
      <c r="E162" s="1387"/>
      <c r="F162" s="1501"/>
      <c r="G162" s="1434"/>
      <c r="H162" s="1126"/>
      <c r="I162" s="1280" t="s">
        <v>188</v>
      </c>
      <c r="J162" s="260"/>
      <c r="K162" s="260"/>
      <c r="L162" s="260"/>
      <c r="M162" s="260"/>
      <c r="N162" s="894"/>
      <c r="O162" s="1199"/>
      <c r="P162" s="135"/>
      <c r="Q162" s="135"/>
      <c r="R162" s="536"/>
      <c r="S162" s="1362" t="s">
        <v>285</v>
      </c>
      <c r="T162" s="1363">
        <f>J156+J161+J171</f>
        <v>0.9</v>
      </c>
      <c r="U162" s="1363">
        <f>K156+K161+K171</f>
        <v>509.2</v>
      </c>
    </row>
    <row r="163" spans="1:21" ht="16.5" customHeight="1" x14ac:dyDescent="0.2">
      <c r="A163" s="1236"/>
      <c r="B163" s="1243"/>
      <c r="C163" s="1289"/>
      <c r="D163" s="1672"/>
      <c r="E163" s="1398"/>
      <c r="F163" s="1506"/>
      <c r="G163" s="1434"/>
      <c r="H163" s="1126"/>
      <c r="I163" s="22" t="s">
        <v>48</v>
      </c>
      <c r="J163" s="104"/>
      <c r="K163" s="104"/>
      <c r="L163" s="104"/>
      <c r="M163" s="104"/>
      <c r="N163" s="1278"/>
      <c r="O163" s="77"/>
      <c r="P163" s="137"/>
      <c r="Q163" s="137"/>
      <c r="R163" s="197"/>
      <c r="S163" s="1362" t="s">
        <v>188</v>
      </c>
      <c r="T163" s="1363">
        <f>J152+J162+J167+J175+J177</f>
        <v>65.099999999999994</v>
      </c>
      <c r="U163" s="1363">
        <f>K152+K162+K167+K175+K177</f>
        <v>210.3</v>
      </c>
    </row>
    <row r="164" spans="1:21" ht="15" customHeight="1" x14ac:dyDescent="0.2">
      <c r="A164" s="1236"/>
      <c r="B164" s="1243"/>
      <c r="C164" s="1289"/>
      <c r="D164" s="1239" t="s">
        <v>34</v>
      </c>
      <c r="E164" s="1499" t="s">
        <v>223</v>
      </c>
      <c r="F164" s="1501" t="s">
        <v>303</v>
      </c>
      <c r="G164" s="1242"/>
      <c r="H164" s="1293"/>
      <c r="I164" s="164" t="s">
        <v>58</v>
      </c>
      <c r="J164" s="164">
        <f>129.6+15</f>
        <v>144.6</v>
      </c>
      <c r="K164" s="164"/>
      <c r="L164" s="164"/>
      <c r="M164" s="164"/>
      <c r="N164" s="1263" t="s">
        <v>94</v>
      </c>
      <c r="O164" s="135">
        <v>1</v>
      </c>
      <c r="P164" s="135"/>
      <c r="Q164" s="135"/>
      <c r="R164" s="536"/>
      <c r="S164" s="1362" t="s">
        <v>286</v>
      </c>
      <c r="T164" s="1363">
        <f>J157+J159+J169</f>
        <v>9.4</v>
      </c>
      <c r="U164" s="1363">
        <f>K157+K159+K169</f>
        <v>5771.3</v>
      </c>
    </row>
    <row r="165" spans="1:21" ht="13.5" customHeight="1" x14ac:dyDescent="0.2">
      <c r="A165" s="1236"/>
      <c r="B165" s="1243"/>
      <c r="C165" s="1289"/>
      <c r="D165" s="1239"/>
      <c r="E165" s="1499"/>
      <c r="F165" s="1501"/>
      <c r="G165" s="1242"/>
      <c r="H165" s="1126"/>
      <c r="I165" s="164" t="s">
        <v>24</v>
      </c>
      <c r="J165" s="164"/>
      <c r="K165" s="164">
        <v>133</v>
      </c>
      <c r="L165" s="164">
        <v>345.2</v>
      </c>
      <c r="M165" s="164"/>
      <c r="N165" s="1502" t="s">
        <v>157</v>
      </c>
      <c r="O165" s="135"/>
      <c r="P165" s="135"/>
      <c r="Q165" s="135"/>
      <c r="R165" s="536"/>
      <c r="S165" s="1362" t="s">
        <v>48</v>
      </c>
      <c r="T165" s="1363">
        <f>J153+J166+J174+J178</f>
        <v>737.4</v>
      </c>
      <c r="U165" s="1363">
        <f>K153+K166+K174+K178</f>
        <v>2382.8000000000002</v>
      </c>
    </row>
    <row r="166" spans="1:21" ht="14.25" customHeight="1" x14ac:dyDescent="0.2">
      <c r="A166" s="1236"/>
      <c r="B166" s="1243"/>
      <c r="C166" s="1289"/>
      <c r="D166" s="1239"/>
      <c r="E166" s="1500"/>
      <c r="F166" s="1501"/>
      <c r="G166" s="1242"/>
      <c r="H166" s="1126"/>
      <c r="I166" s="164" t="s">
        <v>48</v>
      </c>
      <c r="J166" s="164"/>
      <c r="K166" s="164">
        <v>746.4</v>
      </c>
      <c r="L166" s="164">
        <v>1717.4</v>
      </c>
      <c r="M166" s="164"/>
      <c r="N166" s="1505"/>
      <c r="O166" s="135"/>
      <c r="P166" s="135">
        <v>50</v>
      </c>
      <c r="Q166" s="135">
        <v>100</v>
      </c>
      <c r="R166" s="536"/>
      <c r="S166" s="1362" t="s">
        <v>49</v>
      </c>
      <c r="T166" s="1363"/>
      <c r="U166" s="1363">
        <f>K179</f>
        <v>937.3</v>
      </c>
    </row>
    <row r="167" spans="1:21" ht="15" customHeight="1" x14ac:dyDescent="0.2">
      <c r="A167" s="1236"/>
      <c r="B167" s="1243"/>
      <c r="C167" s="1289"/>
      <c r="D167" s="1288"/>
      <c r="E167" s="1500"/>
      <c r="F167" s="1395"/>
      <c r="G167" s="1242"/>
      <c r="H167" s="1126"/>
      <c r="I167" s="165" t="s">
        <v>188</v>
      </c>
      <c r="J167" s="104"/>
      <c r="K167" s="104">
        <v>65.900000000000006</v>
      </c>
      <c r="L167" s="104">
        <v>151.5</v>
      </c>
      <c r="M167" s="104"/>
      <c r="N167" s="1445"/>
      <c r="O167" s="194"/>
      <c r="P167" s="137"/>
      <c r="Q167" s="137"/>
      <c r="R167" s="197"/>
      <c r="S167" s="1362"/>
      <c r="T167" s="1363">
        <f>SUM(T159:T166)</f>
        <v>1711.8</v>
      </c>
      <c r="U167" s="1363">
        <f t="shared" ref="U167" si="2">SUM(U159:U166)</f>
        <v>12237.3</v>
      </c>
    </row>
    <row r="168" spans="1:21" ht="18.75" customHeight="1" x14ac:dyDescent="0.2">
      <c r="A168" s="1236"/>
      <c r="B168" s="1243"/>
      <c r="C168" s="1289"/>
      <c r="D168" s="1239" t="s">
        <v>35</v>
      </c>
      <c r="E168" s="1373" t="s">
        <v>158</v>
      </c>
      <c r="F168" s="1504" t="s">
        <v>95</v>
      </c>
      <c r="G168" s="1242"/>
      <c r="H168" s="1126"/>
      <c r="I168" s="164" t="s">
        <v>24</v>
      </c>
      <c r="J168" s="164">
        <v>52.3</v>
      </c>
      <c r="K168" s="164">
        <v>223.2</v>
      </c>
      <c r="L168" s="164"/>
      <c r="M168" s="164"/>
      <c r="N168" s="1263" t="s">
        <v>94</v>
      </c>
      <c r="O168" s="135">
        <v>1</v>
      </c>
      <c r="P168" s="135"/>
      <c r="Q168" s="135"/>
      <c r="R168" s="536"/>
    </row>
    <row r="169" spans="1:21" ht="21" customHeight="1" x14ac:dyDescent="0.2">
      <c r="A169" s="1236"/>
      <c r="B169" s="1243"/>
      <c r="C169" s="1289"/>
      <c r="D169" s="1239"/>
      <c r="E169" s="1387"/>
      <c r="F169" s="1501"/>
      <c r="G169" s="1242"/>
      <c r="H169" s="1126"/>
      <c r="I169" s="164" t="s">
        <v>286</v>
      </c>
      <c r="J169" s="1361">
        <f>522.8-513.6</f>
        <v>9.1999999999999993</v>
      </c>
      <c r="K169" s="1361">
        <f>779.5+513.6</f>
        <v>1293.0999999999999</v>
      </c>
      <c r="L169" s="164"/>
      <c r="M169" s="164"/>
      <c r="N169" s="1502" t="s">
        <v>154</v>
      </c>
      <c r="O169" s="1114">
        <v>0</v>
      </c>
      <c r="P169" s="135">
        <v>100</v>
      </c>
      <c r="Q169" s="135"/>
      <c r="R169" s="536"/>
      <c r="T169" s="241"/>
      <c r="U169" s="241"/>
    </row>
    <row r="170" spans="1:21" ht="21" customHeight="1" x14ac:dyDescent="0.2">
      <c r="A170" s="1236"/>
      <c r="B170" s="1243"/>
      <c r="C170" s="1289"/>
      <c r="D170" s="1239"/>
      <c r="E170" s="1387"/>
      <c r="F170" s="1501"/>
      <c r="G170" s="1242"/>
      <c r="H170" s="1126"/>
      <c r="I170" s="164" t="s">
        <v>58</v>
      </c>
      <c r="J170" s="164">
        <v>28.2</v>
      </c>
      <c r="K170" s="164"/>
      <c r="L170" s="164"/>
      <c r="M170" s="164"/>
      <c r="N170" s="1502"/>
      <c r="O170" s="135"/>
      <c r="P170" s="135"/>
      <c r="Q170" s="135"/>
      <c r="R170" s="536"/>
    </row>
    <row r="171" spans="1:21" ht="17.25" customHeight="1" x14ac:dyDescent="0.2">
      <c r="A171" s="1236"/>
      <c r="B171" s="1243"/>
      <c r="C171" s="1289"/>
      <c r="D171" s="1288"/>
      <c r="E171" s="1398"/>
      <c r="F171" s="1501"/>
      <c r="G171" s="1434"/>
      <c r="H171" s="1126"/>
      <c r="I171" s="165" t="s">
        <v>285</v>
      </c>
      <c r="J171" s="421">
        <f>46.1-45.3</f>
        <v>0.8</v>
      </c>
      <c r="K171" s="421">
        <f>68.8+45.3</f>
        <v>114.1</v>
      </c>
      <c r="L171" s="104"/>
      <c r="M171" s="104"/>
      <c r="N171" s="1445"/>
      <c r="O171" s="137"/>
      <c r="P171" s="137"/>
      <c r="Q171" s="137"/>
      <c r="R171" s="197"/>
    </row>
    <row r="172" spans="1:21" ht="13.5" customHeight="1" x14ac:dyDescent="0.2">
      <c r="A172" s="1236"/>
      <c r="B172" s="1243"/>
      <c r="C172" s="1289"/>
      <c r="D172" s="1241" t="s">
        <v>28</v>
      </c>
      <c r="E172" s="1507" t="s">
        <v>160</v>
      </c>
      <c r="F172" s="1504" t="s">
        <v>95</v>
      </c>
      <c r="G172" s="1434"/>
      <c r="H172" s="1126"/>
      <c r="I172" s="164" t="s">
        <v>24</v>
      </c>
      <c r="J172" s="260">
        <v>66.8</v>
      </c>
      <c r="K172" s="103">
        <v>538</v>
      </c>
      <c r="L172" s="103">
        <v>614.79999999999995</v>
      </c>
      <c r="M172" s="103"/>
      <c r="N172" s="1263" t="s">
        <v>94</v>
      </c>
      <c r="O172" s="167">
        <v>1</v>
      </c>
      <c r="P172" s="135"/>
      <c r="Q172" s="135"/>
      <c r="R172" s="536"/>
    </row>
    <row r="173" spans="1:21" ht="14.25" customHeight="1" x14ac:dyDescent="0.2">
      <c r="A173" s="1236"/>
      <c r="B173" s="1243"/>
      <c r="C173" s="1289"/>
      <c r="D173" s="1241"/>
      <c r="E173" s="1717"/>
      <c r="F173" s="1501"/>
      <c r="G173" s="1434"/>
      <c r="H173" s="1126"/>
      <c r="I173" s="164" t="s">
        <v>58</v>
      </c>
      <c r="J173" s="260">
        <v>107.3</v>
      </c>
      <c r="K173" s="680"/>
      <c r="L173" s="680"/>
      <c r="M173" s="680"/>
      <c r="N173" s="1263"/>
      <c r="O173" s="167"/>
      <c r="P173" s="135"/>
      <c r="Q173" s="135"/>
      <c r="R173" s="536"/>
    </row>
    <row r="174" spans="1:21" ht="18" customHeight="1" x14ac:dyDescent="0.2">
      <c r="A174" s="1236"/>
      <c r="B174" s="1243"/>
      <c r="C174" s="1289"/>
      <c r="D174" s="1241"/>
      <c r="E174" s="1508"/>
      <c r="F174" s="1501"/>
      <c r="G174" s="1434"/>
      <c r="H174" s="1126"/>
      <c r="I174" s="164" t="s">
        <v>48</v>
      </c>
      <c r="J174" s="260">
        <v>737.4</v>
      </c>
      <c r="K174" s="138">
        <v>1636.4</v>
      </c>
      <c r="L174" s="138">
        <v>1869.8</v>
      </c>
      <c r="M174" s="138"/>
      <c r="N174" s="1502" t="s">
        <v>183</v>
      </c>
      <c r="O174" s="135">
        <v>40</v>
      </c>
      <c r="P174" s="135">
        <v>90</v>
      </c>
      <c r="Q174" s="135">
        <v>100</v>
      </c>
      <c r="R174" s="536"/>
    </row>
    <row r="175" spans="1:21" ht="14.25" customHeight="1" x14ac:dyDescent="0.2">
      <c r="A175" s="1236"/>
      <c r="B175" s="1243"/>
      <c r="C175" s="1289"/>
      <c r="D175" s="222"/>
      <c r="E175" s="1509"/>
      <c r="F175" s="1506"/>
      <c r="G175" s="1241"/>
      <c r="H175" s="1293"/>
      <c r="I175" s="165" t="s">
        <v>188</v>
      </c>
      <c r="J175" s="104">
        <v>65.099999999999994</v>
      </c>
      <c r="K175" s="104">
        <v>144.4</v>
      </c>
      <c r="L175" s="104">
        <v>165</v>
      </c>
      <c r="M175" s="104"/>
      <c r="N175" s="1445"/>
      <c r="O175" s="137"/>
      <c r="P175" s="137"/>
      <c r="Q175" s="137"/>
      <c r="R175" s="197"/>
    </row>
    <row r="176" spans="1:21" ht="16.5" customHeight="1" x14ac:dyDescent="0.2">
      <c r="A176" s="1236"/>
      <c r="B176" s="1243"/>
      <c r="C176" s="1289"/>
      <c r="D176" s="1241" t="s">
        <v>36</v>
      </c>
      <c r="E176" s="1510" t="s">
        <v>214</v>
      </c>
      <c r="F176" s="1261"/>
      <c r="G176" s="416"/>
      <c r="H176" s="1293"/>
      <c r="I176" s="164" t="s">
        <v>24</v>
      </c>
      <c r="J176" s="260"/>
      <c r="K176" s="387">
        <v>0</v>
      </c>
      <c r="L176" s="387">
        <v>0</v>
      </c>
      <c r="M176" s="387"/>
      <c r="N176" s="703"/>
      <c r="O176" s="361"/>
      <c r="P176" s="456"/>
      <c r="Q176" s="986"/>
      <c r="R176" s="485"/>
    </row>
    <row r="177" spans="1:18" ht="18" customHeight="1" x14ac:dyDescent="0.2">
      <c r="A177" s="1236"/>
      <c r="B177" s="1243"/>
      <c r="C177" s="1289"/>
      <c r="D177" s="1241"/>
      <c r="E177" s="1647"/>
      <c r="F177" s="1262"/>
      <c r="G177" s="1242"/>
      <c r="H177" s="1293"/>
      <c r="I177" s="164" t="s">
        <v>188</v>
      </c>
      <c r="J177" s="260"/>
      <c r="K177" s="260">
        <v>0</v>
      </c>
      <c r="L177" s="1280">
        <v>0</v>
      </c>
      <c r="M177" s="1280"/>
      <c r="N177" s="1273" t="s">
        <v>94</v>
      </c>
      <c r="O177" s="362"/>
      <c r="P177" s="456" t="s">
        <v>189</v>
      </c>
      <c r="Q177" s="986"/>
      <c r="R177" s="485"/>
    </row>
    <row r="178" spans="1:18" ht="17.25" customHeight="1" x14ac:dyDescent="0.2">
      <c r="A178" s="1236"/>
      <c r="B178" s="1243"/>
      <c r="C178" s="1289"/>
      <c r="D178" s="1241"/>
      <c r="E178" s="1647"/>
      <c r="F178" s="1262"/>
      <c r="G178" s="1242"/>
      <c r="H178" s="1293"/>
      <c r="I178" s="260" t="s">
        <v>48</v>
      </c>
      <c r="J178" s="260"/>
      <c r="K178" s="260">
        <v>0</v>
      </c>
      <c r="L178" s="24">
        <v>0</v>
      </c>
      <c r="M178" s="24"/>
      <c r="N178" s="1639" t="s">
        <v>191</v>
      </c>
      <c r="O178" s="362"/>
      <c r="P178" s="986">
        <v>70</v>
      </c>
      <c r="Q178" s="986">
        <v>100</v>
      </c>
      <c r="R178" s="485"/>
    </row>
    <row r="179" spans="1:18" ht="18.75" customHeight="1" x14ac:dyDescent="0.2">
      <c r="A179" s="1236"/>
      <c r="B179" s="1243"/>
      <c r="C179" s="1289"/>
      <c r="D179" s="222"/>
      <c r="E179" s="1721"/>
      <c r="F179" s="1297"/>
      <c r="G179" s="1242"/>
      <c r="H179" s="1293"/>
      <c r="I179" s="104" t="s">
        <v>49</v>
      </c>
      <c r="J179" s="104"/>
      <c r="K179" s="104">
        <v>937.3</v>
      </c>
      <c r="L179" s="59">
        <v>937.3</v>
      </c>
      <c r="M179" s="59"/>
      <c r="N179" s="1720"/>
      <c r="O179" s="363"/>
      <c r="P179" s="552"/>
      <c r="Q179" s="1102"/>
      <c r="R179" s="568"/>
    </row>
    <row r="180" spans="1:18" ht="17.25" customHeight="1" x14ac:dyDescent="0.2">
      <c r="A180" s="1236"/>
      <c r="B180" s="1243"/>
      <c r="C180" s="1289"/>
      <c r="D180" s="1241" t="s">
        <v>29</v>
      </c>
      <c r="E180" s="1507" t="s">
        <v>129</v>
      </c>
      <c r="F180" s="1504"/>
      <c r="G180" s="69"/>
      <c r="H180" s="1293"/>
      <c r="I180" s="862" t="s">
        <v>24</v>
      </c>
      <c r="J180" s="260"/>
      <c r="K180" s="260"/>
      <c r="L180" s="260"/>
      <c r="M180" s="260"/>
      <c r="N180" s="1709" t="s">
        <v>130</v>
      </c>
      <c r="O180" s="168">
        <v>1</v>
      </c>
      <c r="P180" s="136"/>
      <c r="Q180" s="136"/>
      <c r="R180" s="198"/>
    </row>
    <row r="181" spans="1:18" ht="18.75" customHeight="1" x14ac:dyDescent="0.2">
      <c r="A181" s="1236"/>
      <c r="B181" s="1243"/>
      <c r="C181" s="1289"/>
      <c r="D181" s="1241"/>
      <c r="E181" s="1508"/>
      <c r="F181" s="1501"/>
      <c r="G181" s="69"/>
      <c r="H181" s="1293"/>
      <c r="I181" s="164" t="s">
        <v>58</v>
      </c>
      <c r="J181" s="260">
        <v>5</v>
      </c>
      <c r="K181" s="138"/>
      <c r="L181" s="138"/>
      <c r="M181" s="138"/>
      <c r="N181" s="1371"/>
      <c r="O181" s="167"/>
      <c r="P181" s="135"/>
      <c r="Q181" s="135"/>
      <c r="R181" s="536"/>
    </row>
    <row r="182" spans="1:18" ht="9" customHeight="1" x14ac:dyDescent="0.2">
      <c r="A182" s="1236"/>
      <c r="B182" s="1243"/>
      <c r="C182" s="1289"/>
      <c r="D182" s="222"/>
      <c r="E182" s="1509"/>
      <c r="F182" s="1506"/>
      <c r="G182" s="662"/>
      <c r="H182" s="1282"/>
      <c r="I182" s="863"/>
      <c r="J182" s="104"/>
      <c r="K182" s="104"/>
      <c r="L182" s="104"/>
      <c r="M182" s="104"/>
      <c r="N182" s="1372"/>
      <c r="O182" s="137"/>
      <c r="P182" s="137"/>
      <c r="Q182" s="137"/>
      <c r="R182" s="197"/>
    </row>
    <row r="183" spans="1:18" ht="15.75" customHeight="1" thickBot="1" x14ac:dyDescent="0.25">
      <c r="A183" s="27"/>
      <c r="B183" s="1260"/>
      <c r="C183" s="302"/>
      <c r="D183" s="305"/>
      <c r="E183" s="315"/>
      <c r="F183" s="313"/>
      <c r="G183" s="314"/>
      <c r="H183" s="304"/>
      <c r="I183" s="23" t="s">
        <v>6</v>
      </c>
      <c r="J183" s="177">
        <f>SUM(J149:J181)</f>
        <v>1711.8</v>
      </c>
      <c r="K183" s="177">
        <f>SUM(K149:K181)</f>
        <v>12237.3</v>
      </c>
      <c r="L183" s="177">
        <f>SUM(L149:L181)</f>
        <v>12373.5</v>
      </c>
      <c r="M183" s="177">
        <f>SUM(M149:M181)</f>
        <v>0</v>
      </c>
      <c r="N183" s="413"/>
      <c r="O183" s="318"/>
      <c r="P183" s="318"/>
      <c r="Q183" s="311"/>
      <c r="R183" s="570"/>
    </row>
    <row r="184" spans="1:18" ht="20.25" customHeight="1" x14ac:dyDescent="0.2">
      <c r="A184" s="1255" t="s">
        <v>5</v>
      </c>
      <c r="B184" s="1256" t="s">
        <v>5</v>
      </c>
      <c r="C184" s="1300" t="s">
        <v>29</v>
      </c>
      <c r="D184" s="1257"/>
      <c r="E184" s="1367" t="s">
        <v>244</v>
      </c>
      <c r="F184" s="227" t="s">
        <v>47</v>
      </c>
      <c r="G184" s="1258" t="s">
        <v>46</v>
      </c>
      <c r="H184" s="1710" t="s">
        <v>76</v>
      </c>
      <c r="I184" s="66"/>
      <c r="J184" s="124"/>
      <c r="K184" s="124"/>
      <c r="L184" s="124"/>
      <c r="M184" s="124"/>
      <c r="N184" s="1497"/>
      <c r="O184" s="122"/>
      <c r="P184" s="472"/>
      <c r="Q184" s="472"/>
      <c r="R184" s="195"/>
    </row>
    <row r="185" spans="1:18" ht="19.5" customHeight="1" x14ac:dyDescent="0.2">
      <c r="A185" s="1236"/>
      <c r="B185" s="1243"/>
      <c r="C185" s="1289"/>
      <c r="D185" s="1239"/>
      <c r="E185" s="1459"/>
      <c r="F185" s="1249"/>
      <c r="G185" s="1242"/>
      <c r="H185" s="1711"/>
      <c r="I185" s="67"/>
      <c r="J185" s="260"/>
      <c r="K185" s="260"/>
      <c r="L185" s="260"/>
      <c r="M185" s="260"/>
      <c r="N185" s="1498"/>
      <c r="O185" s="123"/>
      <c r="P185" s="294"/>
      <c r="Q185" s="294"/>
      <c r="R185" s="196"/>
    </row>
    <row r="186" spans="1:18" ht="16.5" customHeight="1" x14ac:dyDescent="0.2">
      <c r="A186" s="1236"/>
      <c r="B186" s="1243"/>
      <c r="C186" s="1289"/>
      <c r="D186" s="1290" t="s">
        <v>5</v>
      </c>
      <c r="E186" s="1373" t="s">
        <v>237</v>
      </c>
      <c r="F186" s="1491" t="s">
        <v>236</v>
      </c>
      <c r="G186" s="1434"/>
      <c r="H186" s="1650"/>
      <c r="I186" s="686" t="s">
        <v>24</v>
      </c>
      <c r="J186" s="103">
        <v>10</v>
      </c>
      <c r="K186" s="103">
        <v>84</v>
      </c>
      <c r="L186" s="103"/>
      <c r="M186" s="103"/>
      <c r="N186" s="1247" t="s">
        <v>94</v>
      </c>
      <c r="O186" s="34">
        <v>1</v>
      </c>
      <c r="P186" s="136"/>
      <c r="Q186" s="136"/>
      <c r="R186" s="198"/>
    </row>
    <row r="187" spans="1:18" ht="12.75" customHeight="1" x14ac:dyDescent="0.2">
      <c r="A187" s="1236"/>
      <c r="B187" s="1243"/>
      <c r="C187" s="1289"/>
      <c r="D187" s="221"/>
      <c r="E187" s="1387"/>
      <c r="F187" s="1492"/>
      <c r="G187" s="1434"/>
      <c r="H187" s="1651"/>
      <c r="I187" s="1280"/>
      <c r="J187" s="260"/>
      <c r="K187" s="260"/>
      <c r="L187" s="260"/>
      <c r="M187" s="260"/>
      <c r="N187" s="1279" t="s">
        <v>238</v>
      </c>
      <c r="O187" s="1199"/>
      <c r="P187" s="135">
        <v>1</v>
      </c>
      <c r="Q187" s="135"/>
      <c r="R187" s="536"/>
    </row>
    <row r="188" spans="1:18" ht="12.75" customHeight="1" x14ac:dyDescent="0.2">
      <c r="A188" s="1236"/>
      <c r="B188" s="1243"/>
      <c r="C188" s="1289"/>
      <c r="D188" s="626"/>
      <c r="E188" s="1398"/>
      <c r="F188" s="1493"/>
      <c r="G188" s="1705"/>
      <c r="H188" s="1651"/>
      <c r="I188" s="283"/>
      <c r="J188" s="104"/>
      <c r="K188" s="104"/>
      <c r="L188" s="104"/>
      <c r="M188" s="104"/>
      <c r="N188" s="1248"/>
      <c r="O188" s="77"/>
      <c r="P188" s="137"/>
      <c r="Q188" s="137"/>
      <c r="R188" s="197"/>
    </row>
    <row r="189" spans="1:18" ht="22.5" hidden="1" customHeight="1" x14ac:dyDescent="0.2">
      <c r="A189" s="1236"/>
      <c r="B189" s="1243"/>
      <c r="C189" s="1289"/>
      <c r="D189" s="1521" t="s">
        <v>7</v>
      </c>
      <c r="E189" s="1707" t="s">
        <v>239</v>
      </c>
      <c r="F189" s="1495"/>
      <c r="G189" s="1434"/>
      <c r="H189" s="1689"/>
      <c r="I189" s="1280" t="s">
        <v>24</v>
      </c>
      <c r="J189" s="260"/>
      <c r="K189" s="260"/>
      <c r="L189" s="260"/>
      <c r="M189" s="260"/>
      <c r="N189" s="1263"/>
      <c r="O189" s="34"/>
      <c r="P189" s="34"/>
      <c r="Q189" s="198"/>
      <c r="R189" s="198"/>
    </row>
    <row r="190" spans="1:18" ht="15.75" hidden="1" customHeight="1" x14ac:dyDescent="0.2">
      <c r="A190" s="1236"/>
      <c r="B190" s="1243"/>
      <c r="C190" s="1289"/>
      <c r="D190" s="1672"/>
      <c r="E190" s="1708"/>
      <c r="F190" s="1706"/>
      <c r="G190" s="1705"/>
      <c r="H190" s="1650"/>
      <c r="I190" s="283"/>
      <c r="J190" s="104"/>
      <c r="K190" s="104"/>
      <c r="L190" s="104"/>
      <c r="M190" s="104"/>
      <c r="N190" s="1278"/>
      <c r="O190" s="77"/>
      <c r="P190" s="77"/>
      <c r="Q190" s="536"/>
      <c r="R190" s="536"/>
    </row>
    <row r="191" spans="1:18" ht="15.75" customHeight="1" thickBot="1" x14ac:dyDescent="0.25">
      <c r="A191" s="27"/>
      <c r="B191" s="1260"/>
      <c r="C191" s="302"/>
      <c r="D191" s="581"/>
      <c r="E191" s="315"/>
      <c r="F191" s="313"/>
      <c r="G191" s="314"/>
      <c r="H191" s="304"/>
      <c r="I191" s="23" t="s">
        <v>6</v>
      </c>
      <c r="J191" s="177">
        <f>SUM(J186:J190)</f>
        <v>10</v>
      </c>
      <c r="K191" s="177">
        <f t="shared" ref="K191:M191" si="3">SUM(K186:K190)</f>
        <v>84</v>
      </c>
      <c r="L191" s="177">
        <f t="shared" ref="L191" si="4">SUM(L186:L190)</f>
        <v>0</v>
      </c>
      <c r="M191" s="177">
        <f t="shared" si="3"/>
        <v>0</v>
      </c>
      <c r="N191" s="413"/>
      <c r="O191" s="318"/>
      <c r="P191" s="318"/>
      <c r="Q191" s="311"/>
      <c r="R191" s="570"/>
    </row>
    <row r="192" spans="1:18" ht="14.25" customHeight="1" thickBot="1" x14ac:dyDescent="0.25">
      <c r="A192" s="28" t="s">
        <v>5</v>
      </c>
      <c r="B192" s="72" t="s">
        <v>5</v>
      </c>
      <c r="C192" s="1518" t="s">
        <v>8</v>
      </c>
      <c r="D192" s="1519"/>
      <c r="E192" s="1519"/>
      <c r="F192" s="1519"/>
      <c r="G192" s="1519"/>
      <c r="H192" s="1519"/>
      <c r="I192" s="1520"/>
      <c r="J192" s="373">
        <f>SUM(J183,J143,J140,J116,J72,J60,J146,J191)</f>
        <v>9582.7999999999993</v>
      </c>
      <c r="K192" s="373">
        <f>SUM(K183,K143,K140,K116,K72,K60,K146,K191)</f>
        <v>20452.400000000001</v>
      </c>
      <c r="L192" s="373">
        <f>SUM(L183,L143,L140,L116,L72,L60,L146,L191)</f>
        <v>20559.900000000001</v>
      </c>
      <c r="M192" s="373">
        <f>SUM(M183,M143,M140,M116,M72,M60,M146,M191)</f>
        <v>6952.8</v>
      </c>
      <c r="N192" s="266"/>
      <c r="O192" s="266"/>
      <c r="P192" s="266"/>
      <c r="Q192" s="266"/>
      <c r="R192" s="229"/>
    </row>
    <row r="193" spans="1:18" ht="17.25" customHeight="1" thickBot="1" x14ac:dyDescent="0.25">
      <c r="A193" s="28" t="s">
        <v>5</v>
      </c>
      <c r="B193" s="72" t="s">
        <v>7</v>
      </c>
      <c r="C193" s="1511" t="s">
        <v>42</v>
      </c>
      <c r="D193" s="1512"/>
      <c r="E193" s="1512"/>
      <c r="F193" s="1512"/>
      <c r="G193" s="1512"/>
      <c r="H193" s="1512"/>
      <c r="I193" s="1512"/>
      <c r="J193" s="1512"/>
      <c r="K193" s="1512"/>
      <c r="L193" s="1512"/>
      <c r="M193" s="1512"/>
      <c r="N193" s="1512"/>
      <c r="O193" s="1512"/>
      <c r="P193" s="1512"/>
      <c r="Q193" s="1512"/>
      <c r="R193" s="1513"/>
    </row>
    <row r="194" spans="1:18" ht="27.75" customHeight="1" x14ac:dyDescent="0.2">
      <c r="A194" s="82" t="s">
        <v>5</v>
      </c>
      <c r="B194" s="114" t="s">
        <v>7</v>
      </c>
      <c r="C194" s="317" t="s">
        <v>5</v>
      </c>
      <c r="D194" s="218"/>
      <c r="E194" s="219" t="s">
        <v>81</v>
      </c>
      <c r="F194" s="115"/>
      <c r="G194" s="52">
        <v>6</v>
      </c>
      <c r="H194" s="1714" t="s">
        <v>79</v>
      </c>
      <c r="I194" s="48"/>
      <c r="J194" s="179"/>
      <c r="K194" s="179"/>
      <c r="L194" s="648"/>
      <c r="M194" s="648"/>
      <c r="N194" s="649"/>
      <c r="O194" s="171"/>
      <c r="P194" s="166"/>
      <c r="Q194" s="166"/>
      <c r="R194" s="90"/>
    </row>
    <row r="195" spans="1:18" ht="18" customHeight="1" x14ac:dyDescent="0.2">
      <c r="A195" s="83"/>
      <c r="B195" s="235"/>
      <c r="C195" s="309"/>
      <c r="D195" s="120" t="s">
        <v>5</v>
      </c>
      <c r="E195" s="1514" t="s">
        <v>52</v>
      </c>
      <c r="F195" s="1249"/>
      <c r="G195" s="53"/>
      <c r="H195" s="1715"/>
      <c r="I195" s="54" t="s">
        <v>24</v>
      </c>
      <c r="J195" s="722">
        <f>39-11</f>
        <v>28</v>
      </c>
      <c r="K195" s="722">
        <v>39</v>
      </c>
      <c r="L195" s="653">
        <v>39</v>
      </c>
      <c r="M195" s="653">
        <v>39</v>
      </c>
      <c r="N195" s="1295" t="s">
        <v>125</v>
      </c>
      <c r="O195" s="436">
        <v>350</v>
      </c>
      <c r="P195" s="579">
        <v>350</v>
      </c>
      <c r="Q195" s="579">
        <v>350</v>
      </c>
      <c r="R195" s="437">
        <v>350</v>
      </c>
    </row>
    <row r="196" spans="1:18" ht="28.5" customHeight="1" x14ac:dyDescent="0.2">
      <c r="A196" s="83"/>
      <c r="B196" s="235"/>
      <c r="C196" s="309"/>
      <c r="D196" s="57"/>
      <c r="E196" s="1514"/>
      <c r="F196" s="1249"/>
      <c r="G196" s="53"/>
      <c r="H196" s="1715"/>
      <c r="I196" s="55" t="s">
        <v>58</v>
      </c>
      <c r="J196" s="260"/>
      <c r="K196" s="260"/>
      <c r="L196" s="932"/>
      <c r="M196" s="932"/>
      <c r="N196" s="1273" t="s">
        <v>126</v>
      </c>
      <c r="O196" s="172">
        <v>300</v>
      </c>
      <c r="P196" s="417">
        <v>300</v>
      </c>
      <c r="Q196" s="417">
        <v>300</v>
      </c>
      <c r="R196" s="438">
        <v>300</v>
      </c>
    </row>
    <row r="197" spans="1:18" ht="33" customHeight="1" x14ac:dyDescent="0.2">
      <c r="A197" s="83"/>
      <c r="B197" s="235"/>
      <c r="C197" s="1289"/>
      <c r="D197" s="121"/>
      <c r="E197" s="1515"/>
      <c r="F197" s="1250"/>
      <c r="G197" s="53"/>
      <c r="H197" s="1715"/>
      <c r="I197" s="56"/>
      <c r="J197" s="104"/>
      <c r="K197" s="104"/>
      <c r="L197" s="613"/>
      <c r="M197" s="613"/>
      <c r="N197" s="618" t="s">
        <v>85</v>
      </c>
      <c r="O197" s="434">
        <v>36</v>
      </c>
      <c r="P197" s="418">
        <v>36</v>
      </c>
      <c r="Q197" s="418">
        <v>36</v>
      </c>
      <c r="R197" s="435">
        <v>36</v>
      </c>
    </row>
    <row r="198" spans="1:18" ht="14.25" customHeight="1" x14ac:dyDescent="0.2">
      <c r="A198" s="83"/>
      <c r="B198" s="235"/>
      <c r="C198" s="309"/>
      <c r="D198" s="1241" t="s">
        <v>7</v>
      </c>
      <c r="E198" s="1522" t="s">
        <v>190</v>
      </c>
      <c r="F198" s="1249"/>
      <c r="G198" s="53"/>
      <c r="H198" s="892"/>
      <c r="I198" s="54" t="s">
        <v>24</v>
      </c>
      <c r="J198" s="103">
        <f>202+11</f>
        <v>213</v>
      </c>
      <c r="K198" s="103">
        <v>202</v>
      </c>
      <c r="L198" s="110">
        <v>202</v>
      </c>
      <c r="M198" s="110">
        <v>202</v>
      </c>
      <c r="N198" s="1702" t="s">
        <v>105</v>
      </c>
      <c r="O198" s="830">
        <v>18</v>
      </c>
      <c r="P198" s="493">
        <v>18</v>
      </c>
      <c r="Q198" s="493">
        <v>18</v>
      </c>
      <c r="R198" s="353">
        <v>18</v>
      </c>
    </row>
    <row r="199" spans="1:18" ht="13.5" customHeight="1" x14ac:dyDescent="0.2">
      <c r="A199" s="83"/>
      <c r="B199" s="235"/>
      <c r="C199" s="309"/>
      <c r="D199" s="57"/>
      <c r="E199" s="1587"/>
      <c r="F199" s="1249"/>
      <c r="G199" s="53"/>
      <c r="H199" s="892"/>
      <c r="I199" s="55" t="s">
        <v>58</v>
      </c>
      <c r="J199" s="260">
        <f>11.8+13.8+10</f>
        <v>35.6</v>
      </c>
      <c r="K199" s="260"/>
      <c r="L199" s="932"/>
      <c r="M199" s="932"/>
      <c r="N199" s="1599"/>
      <c r="O199" s="831"/>
      <c r="P199" s="354"/>
      <c r="Q199" s="354"/>
      <c r="R199" s="355"/>
    </row>
    <row r="200" spans="1:18" ht="27.75" customHeight="1" x14ac:dyDescent="0.2">
      <c r="A200" s="83"/>
      <c r="B200" s="235"/>
      <c r="C200" s="309"/>
      <c r="D200" s="57"/>
      <c r="E200" s="1587"/>
      <c r="F200" s="1249"/>
      <c r="G200" s="53"/>
      <c r="H200" s="892"/>
      <c r="I200" s="644" t="s">
        <v>24</v>
      </c>
      <c r="J200" s="157">
        <v>20.3</v>
      </c>
      <c r="K200" s="157">
        <v>4</v>
      </c>
      <c r="L200" s="111">
        <v>4</v>
      </c>
      <c r="M200" s="111">
        <v>4</v>
      </c>
      <c r="N200" s="91" t="s">
        <v>101</v>
      </c>
      <c r="O200" s="173">
        <v>25</v>
      </c>
      <c r="P200" s="494">
        <v>5</v>
      </c>
      <c r="Q200" s="494">
        <v>5</v>
      </c>
      <c r="R200" s="295">
        <v>5</v>
      </c>
    </row>
    <row r="201" spans="1:18" ht="18.75" customHeight="1" x14ac:dyDescent="0.2">
      <c r="A201" s="83"/>
      <c r="B201" s="235"/>
      <c r="C201" s="309"/>
      <c r="D201" s="57"/>
      <c r="E201" s="1587"/>
      <c r="F201" s="87"/>
      <c r="G201" s="79"/>
      <c r="H201" s="892"/>
      <c r="I201" s="644" t="s">
        <v>24</v>
      </c>
      <c r="J201" s="157">
        <v>15</v>
      </c>
      <c r="K201" s="157">
        <v>15</v>
      </c>
      <c r="L201" s="111">
        <v>15</v>
      </c>
      <c r="M201" s="111">
        <v>15</v>
      </c>
      <c r="N201" s="663" t="s">
        <v>44</v>
      </c>
      <c r="O201" s="251">
        <v>57</v>
      </c>
      <c r="P201" s="374">
        <v>57</v>
      </c>
      <c r="Q201" s="374">
        <v>57</v>
      </c>
      <c r="R201" s="375">
        <v>57</v>
      </c>
    </row>
    <row r="202" spans="1:18" ht="25.5" customHeight="1" x14ac:dyDescent="0.2">
      <c r="A202" s="83"/>
      <c r="B202" s="235"/>
      <c r="C202" s="309"/>
      <c r="D202" s="57"/>
      <c r="E202" s="1587"/>
      <c r="F202" s="87"/>
      <c r="G202" s="79"/>
      <c r="H202" s="892"/>
      <c r="I202" s="650" t="s">
        <v>24</v>
      </c>
      <c r="J202" s="158">
        <v>3.8</v>
      </c>
      <c r="K202" s="158"/>
      <c r="L202" s="159"/>
      <c r="M202" s="159"/>
      <c r="N202" s="663" t="s">
        <v>100</v>
      </c>
      <c r="O202" s="251">
        <v>1</v>
      </c>
      <c r="P202" s="374"/>
      <c r="Q202" s="374"/>
      <c r="R202" s="375"/>
    </row>
    <row r="203" spans="1:18" ht="28.5" customHeight="1" x14ac:dyDescent="0.2">
      <c r="A203" s="83"/>
      <c r="B203" s="235"/>
      <c r="C203" s="309"/>
      <c r="D203" s="57"/>
      <c r="E203" s="1272"/>
      <c r="F203" s="87"/>
      <c r="G203" s="79"/>
      <c r="H203" s="892"/>
      <c r="I203" s="644" t="s">
        <v>24</v>
      </c>
      <c r="J203" s="157">
        <v>110</v>
      </c>
      <c r="K203" s="157">
        <v>110</v>
      </c>
      <c r="L203" s="111">
        <v>110</v>
      </c>
      <c r="M203" s="111">
        <v>110</v>
      </c>
      <c r="N203" s="651" t="s">
        <v>267</v>
      </c>
      <c r="O203" s="645">
        <v>7.5</v>
      </c>
      <c r="P203" s="646">
        <v>7.5</v>
      </c>
      <c r="Q203" s="646">
        <v>7.5</v>
      </c>
      <c r="R203" s="647">
        <v>7.5</v>
      </c>
    </row>
    <row r="204" spans="1:18" ht="42.75" customHeight="1" x14ac:dyDescent="0.2">
      <c r="A204" s="83"/>
      <c r="B204" s="235"/>
      <c r="C204" s="309"/>
      <c r="D204" s="57"/>
      <c r="E204" s="1272"/>
      <c r="F204" s="87"/>
      <c r="G204" s="79"/>
      <c r="H204" s="892"/>
      <c r="I204" s="636" t="s">
        <v>24</v>
      </c>
      <c r="J204" s="157">
        <v>35.200000000000003</v>
      </c>
      <c r="K204" s="157"/>
      <c r="L204" s="111"/>
      <c r="M204" s="111"/>
      <c r="N204" s="651" t="s">
        <v>179</v>
      </c>
      <c r="O204" s="173">
        <v>100</v>
      </c>
      <c r="P204" s="494"/>
      <c r="Q204" s="494"/>
      <c r="R204" s="295"/>
    </row>
    <row r="205" spans="1:18" ht="21" customHeight="1" x14ac:dyDescent="0.2">
      <c r="A205" s="83"/>
      <c r="B205" s="235"/>
      <c r="C205" s="309"/>
      <c r="D205" s="57"/>
      <c r="E205" s="1272"/>
      <c r="F205" s="87"/>
      <c r="G205" s="79"/>
      <c r="H205" s="892"/>
      <c r="I205" s="644" t="s">
        <v>24</v>
      </c>
      <c r="J205" s="157"/>
      <c r="K205" s="157">
        <v>7.5</v>
      </c>
      <c r="L205" s="111"/>
      <c r="M205" s="111"/>
      <c r="N205" s="664" t="s">
        <v>178</v>
      </c>
      <c r="O205" s="173"/>
      <c r="P205" s="494">
        <v>80</v>
      </c>
      <c r="Q205" s="494"/>
      <c r="R205" s="295"/>
    </row>
    <row r="206" spans="1:18" ht="29.25" customHeight="1" x14ac:dyDescent="0.2">
      <c r="A206" s="83"/>
      <c r="B206" s="235"/>
      <c r="C206" s="309"/>
      <c r="D206" s="57"/>
      <c r="E206" s="1272"/>
      <c r="F206" s="87"/>
      <c r="G206" s="79"/>
      <c r="H206" s="892"/>
      <c r="I206" s="644" t="s">
        <v>24</v>
      </c>
      <c r="J206" s="157">
        <v>140</v>
      </c>
      <c r="K206" s="157">
        <v>140</v>
      </c>
      <c r="L206" s="111"/>
      <c r="M206" s="111"/>
      <c r="N206" s="651" t="s">
        <v>268</v>
      </c>
      <c r="O206" s="173">
        <v>50</v>
      </c>
      <c r="P206" s="494">
        <v>100</v>
      </c>
      <c r="Q206" s="494"/>
      <c r="R206" s="295"/>
    </row>
    <row r="207" spans="1:18" ht="30.75" customHeight="1" x14ac:dyDescent="0.2">
      <c r="A207" s="83"/>
      <c r="B207" s="235"/>
      <c r="C207" s="309"/>
      <c r="D207" s="121"/>
      <c r="E207" s="316"/>
      <c r="F207" s="88"/>
      <c r="G207" s="582"/>
      <c r="H207" s="64"/>
      <c r="I207" s="1038" t="s">
        <v>24</v>
      </c>
      <c r="J207" s="1039"/>
      <c r="K207" s="1040">
        <v>80</v>
      </c>
      <c r="L207" s="1040"/>
      <c r="M207" s="1040"/>
      <c r="N207" s="1041" t="s">
        <v>269</v>
      </c>
      <c r="O207" s="1044">
        <v>10</v>
      </c>
      <c r="P207" s="1042">
        <v>100</v>
      </c>
      <c r="Q207" s="1042"/>
      <c r="R207" s="1043"/>
    </row>
    <row r="208" spans="1:18" ht="15.75" customHeight="1" thickBot="1" x14ac:dyDescent="0.25">
      <c r="A208" s="27"/>
      <c r="B208" s="1260"/>
      <c r="C208" s="302"/>
      <c r="D208" s="581"/>
      <c r="E208" s="315"/>
      <c r="F208" s="313"/>
      <c r="G208" s="314"/>
      <c r="H208" s="304"/>
      <c r="I208" s="23" t="s">
        <v>6</v>
      </c>
      <c r="J208" s="177">
        <f>SUM(J195:J207)</f>
        <v>600.9</v>
      </c>
      <c r="K208" s="177">
        <f>SUM(K195:K207)</f>
        <v>597.5</v>
      </c>
      <c r="L208" s="177">
        <f>SUM(L195:L207)</f>
        <v>370</v>
      </c>
      <c r="M208" s="177">
        <f>SUM(M195:M207)</f>
        <v>370</v>
      </c>
      <c r="N208" s="303"/>
      <c r="O208" s="318"/>
      <c r="P208" s="318"/>
      <c r="Q208" s="318"/>
      <c r="R208" s="570"/>
    </row>
    <row r="209" spans="1:20" ht="14.25" customHeight="1" thickBot="1" x14ac:dyDescent="0.25">
      <c r="A209" s="29" t="s">
        <v>5</v>
      </c>
      <c r="B209" s="6" t="s">
        <v>7</v>
      </c>
      <c r="C209" s="1519" t="s">
        <v>8</v>
      </c>
      <c r="D209" s="1519"/>
      <c r="E209" s="1519"/>
      <c r="F209" s="1519"/>
      <c r="G209" s="1519"/>
      <c r="H209" s="1519"/>
      <c r="I209" s="1519"/>
      <c r="J209" s="109">
        <f t="shared" ref="J209:M209" si="5">J208</f>
        <v>600.9</v>
      </c>
      <c r="K209" s="107">
        <f t="shared" ref="K209:L209" si="6">K208</f>
        <v>597.5</v>
      </c>
      <c r="L209" s="107">
        <f t="shared" si="6"/>
        <v>370</v>
      </c>
      <c r="M209" s="107">
        <f t="shared" si="5"/>
        <v>370</v>
      </c>
      <c r="N209" s="266"/>
      <c r="O209" s="266"/>
      <c r="P209" s="266"/>
      <c r="Q209" s="266"/>
      <c r="R209" s="229"/>
    </row>
    <row r="210" spans="1:20" ht="17.25" customHeight="1" thickBot="1" x14ac:dyDescent="0.25">
      <c r="A210" s="28" t="s">
        <v>5</v>
      </c>
      <c r="B210" s="6" t="s">
        <v>26</v>
      </c>
      <c r="C210" s="1369" t="s">
        <v>136</v>
      </c>
      <c r="D210" s="1524"/>
      <c r="E210" s="1524"/>
      <c r="F210" s="1524"/>
      <c r="G210" s="1524"/>
      <c r="H210" s="1524"/>
      <c r="I210" s="1524"/>
      <c r="J210" s="1704"/>
      <c r="K210" s="1704"/>
      <c r="L210" s="1704"/>
      <c r="M210" s="1704"/>
      <c r="N210" s="1704"/>
      <c r="O210" s="1704"/>
      <c r="P210" s="1704"/>
      <c r="Q210" s="269"/>
      <c r="R210" s="231"/>
    </row>
    <row r="211" spans="1:20" ht="27.75" customHeight="1" x14ac:dyDescent="0.2">
      <c r="A211" s="273" t="s">
        <v>5</v>
      </c>
      <c r="B211" s="267" t="s">
        <v>26</v>
      </c>
      <c r="C211" s="1291" t="s">
        <v>5</v>
      </c>
      <c r="D211" s="376"/>
      <c r="E211" s="377" t="s">
        <v>98</v>
      </c>
      <c r="F211" s="280"/>
      <c r="G211" s="620">
        <v>6</v>
      </c>
      <c r="H211" s="622"/>
      <c r="I211" s="378"/>
      <c r="J211" s="379"/>
      <c r="K211" s="380"/>
      <c r="L211" s="583"/>
      <c r="M211" s="583"/>
      <c r="N211" s="225"/>
      <c r="O211" s="381"/>
      <c r="P211" s="402"/>
      <c r="Q211" s="501"/>
      <c r="R211" s="1223"/>
    </row>
    <row r="212" spans="1:20" ht="14.25" customHeight="1" x14ac:dyDescent="0.2">
      <c r="A212" s="273"/>
      <c r="B212" s="267"/>
      <c r="C212" s="1291"/>
      <c r="D212" s="49" t="s">
        <v>5</v>
      </c>
      <c r="E212" s="1700" t="s">
        <v>283</v>
      </c>
      <c r="F212" s="210" t="s">
        <v>47</v>
      </c>
      <c r="G212" s="620"/>
      <c r="H212" s="1703" t="s">
        <v>97</v>
      </c>
      <c r="I212" s="1280" t="s">
        <v>24</v>
      </c>
      <c r="J212" s="1331">
        <f>1400-300+111</f>
        <v>1211</v>
      </c>
      <c r="K212" s="110">
        <f>1480.5-200</f>
        <v>1280.5</v>
      </c>
      <c r="L212" s="103">
        <f>1500-200</f>
        <v>1300</v>
      </c>
      <c r="M212" s="103">
        <f>1500-200</f>
        <v>1300</v>
      </c>
      <c r="N212" s="208"/>
      <c r="O212" s="3"/>
      <c r="P212" s="580"/>
      <c r="Q212" s="580"/>
      <c r="R212" s="209"/>
    </row>
    <row r="213" spans="1:20" ht="14.25" customHeight="1" x14ac:dyDescent="0.2">
      <c r="A213" s="273"/>
      <c r="B213" s="267"/>
      <c r="C213" s="1291"/>
      <c r="D213" s="49"/>
      <c r="E213" s="1691"/>
      <c r="F213" s="210"/>
      <c r="G213" s="620"/>
      <c r="H213" s="1660"/>
      <c r="I213" s="1280" t="s">
        <v>58</v>
      </c>
      <c r="J213" s="125">
        <v>100</v>
      </c>
      <c r="K213" s="932"/>
      <c r="L213" s="260"/>
      <c r="M213" s="260"/>
      <c r="N213" s="296"/>
      <c r="O213" s="428"/>
      <c r="P213" s="503"/>
      <c r="Q213" s="503"/>
      <c r="R213" s="298"/>
    </row>
    <row r="214" spans="1:20" ht="11.25" customHeight="1" x14ac:dyDescent="0.2">
      <c r="A214" s="273"/>
      <c r="B214" s="267"/>
      <c r="C214" s="1291"/>
      <c r="D214" s="49"/>
      <c r="E214" s="1691"/>
      <c r="F214" s="210"/>
      <c r="G214" s="620"/>
      <c r="H214" s="1660"/>
      <c r="I214" s="1280" t="s">
        <v>58</v>
      </c>
      <c r="J214" s="125">
        <v>196.7</v>
      </c>
      <c r="K214" s="932"/>
      <c r="L214" s="260"/>
      <c r="M214" s="260"/>
      <c r="N214" s="296"/>
      <c r="O214" s="428"/>
      <c r="P214" s="503"/>
      <c r="Q214" s="503"/>
      <c r="R214" s="298"/>
    </row>
    <row r="215" spans="1:20" ht="15" customHeight="1" x14ac:dyDescent="0.2">
      <c r="A215" s="273"/>
      <c r="B215" s="267"/>
      <c r="C215" s="1291"/>
      <c r="D215" s="49"/>
      <c r="E215" s="281" t="s">
        <v>140</v>
      </c>
      <c r="F215" s="210"/>
      <c r="G215" s="620"/>
      <c r="H215" s="1660"/>
      <c r="I215" s="1280" t="s">
        <v>58</v>
      </c>
      <c r="J215" s="1330">
        <v>429</v>
      </c>
      <c r="K215" s="931"/>
      <c r="L215" s="757"/>
      <c r="M215" s="757"/>
      <c r="N215" s="356" t="s">
        <v>270</v>
      </c>
      <c r="O215" s="358">
        <v>10</v>
      </c>
      <c r="P215" s="504">
        <v>10</v>
      </c>
      <c r="Q215" s="504">
        <v>10</v>
      </c>
      <c r="R215" s="359">
        <v>10</v>
      </c>
    </row>
    <row r="216" spans="1:20" ht="13.5" customHeight="1" x14ac:dyDescent="0.2">
      <c r="A216" s="273"/>
      <c r="B216" s="267"/>
      <c r="C216" s="1291"/>
      <c r="D216" s="49"/>
      <c r="E216" s="1527" t="s">
        <v>302</v>
      </c>
      <c r="F216" s="210"/>
      <c r="G216" s="620"/>
      <c r="H216" s="1285"/>
      <c r="I216" s="1280"/>
      <c r="J216" s="125"/>
      <c r="K216" s="932"/>
      <c r="L216" s="260"/>
      <c r="M216" s="260"/>
      <c r="N216" s="1529" t="s">
        <v>230</v>
      </c>
      <c r="O216" s="1335">
        <v>726</v>
      </c>
      <c r="P216" s="505">
        <v>585</v>
      </c>
      <c r="Q216" s="505">
        <v>596</v>
      </c>
      <c r="R216" s="385">
        <v>596</v>
      </c>
    </row>
    <row r="217" spans="1:20" ht="13.5" customHeight="1" x14ac:dyDescent="0.2">
      <c r="A217" s="273"/>
      <c r="B217" s="267"/>
      <c r="C217" s="1291"/>
      <c r="D217" s="49"/>
      <c r="E217" s="1701"/>
      <c r="F217" s="210"/>
      <c r="G217" s="620"/>
      <c r="H217" s="1285"/>
      <c r="I217" s="1280"/>
      <c r="J217" s="125"/>
      <c r="K217" s="932"/>
      <c r="L217" s="260"/>
      <c r="M217" s="260"/>
      <c r="N217" s="1530"/>
      <c r="O217" s="1333"/>
      <c r="P217" s="605"/>
      <c r="Q217" s="605"/>
      <c r="R217" s="606"/>
    </row>
    <row r="218" spans="1:20" ht="26.25" customHeight="1" x14ac:dyDescent="0.2">
      <c r="A218" s="273"/>
      <c r="B218" s="267"/>
      <c r="C218" s="1291"/>
      <c r="D218" s="49"/>
      <c r="E218" s="297" t="s">
        <v>282</v>
      </c>
      <c r="F218" s="210"/>
      <c r="G218" s="620"/>
      <c r="H218" s="1286"/>
      <c r="I218" s="1280"/>
      <c r="J218" s="357"/>
      <c r="K218" s="931"/>
      <c r="L218" s="757"/>
      <c r="M218" s="757"/>
      <c r="N218" s="44" t="s">
        <v>153</v>
      </c>
      <c r="O218" s="1336">
        <v>10.3</v>
      </c>
      <c r="P218" s="504">
        <v>7</v>
      </c>
      <c r="Q218" s="504">
        <v>7</v>
      </c>
      <c r="R218" s="359">
        <v>7</v>
      </c>
      <c r="T218" s="241"/>
    </row>
    <row r="219" spans="1:20" ht="24.75" customHeight="1" x14ac:dyDescent="0.2">
      <c r="A219" s="1388"/>
      <c r="B219" s="1396"/>
      <c r="C219" s="1673"/>
      <c r="D219" s="1674" t="s">
        <v>7</v>
      </c>
      <c r="E219" s="1677" t="s">
        <v>141</v>
      </c>
      <c r="F219" s="1596"/>
      <c r="G219" s="620"/>
      <c r="H219" s="1693" t="s">
        <v>206</v>
      </c>
      <c r="I219" s="686" t="s">
        <v>24</v>
      </c>
      <c r="J219" s="110">
        <v>2.1</v>
      </c>
      <c r="K219" s="110"/>
      <c r="L219" s="103"/>
      <c r="M219" s="103"/>
      <c r="N219" s="1298" t="s">
        <v>151</v>
      </c>
      <c r="O219" s="175">
        <v>1</v>
      </c>
      <c r="P219" s="459"/>
      <c r="Q219" s="168"/>
      <c r="R219" s="201"/>
    </row>
    <row r="220" spans="1:20" ht="26.25" customHeight="1" x14ac:dyDescent="0.2">
      <c r="A220" s="1388"/>
      <c r="B220" s="1396"/>
      <c r="C220" s="1673"/>
      <c r="D220" s="1676"/>
      <c r="E220" s="1679"/>
      <c r="F220" s="1597"/>
      <c r="G220" s="621"/>
      <c r="H220" s="1650"/>
      <c r="I220" s="283"/>
      <c r="J220" s="613"/>
      <c r="K220" s="613"/>
      <c r="L220" s="104"/>
      <c r="M220" s="104"/>
      <c r="N220" s="1230"/>
      <c r="O220" s="176"/>
      <c r="P220" s="440"/>
      <c r="Q220" s="169"/>
      <c r="R220" s="217"/>
    </row>
    <row r="221" spans="1:20" ht="12.75" customHeight="1" x14ac:dyDescent="0.2">
      <c r="A221" s="1388"/>
      <c r="B221" s="1396"/>
      <c r="C221" s="1673"/>
      <c r="D221" s="1674" t="s">
        <v>26</v>
      </c>
      <c r="E221" s="1677" t="s">
        <v>216</v>
      </c>
      <c r="F221" s="1596"/>
      <c r="G221" s="620"/>
      <c r="H221" s="1693" t="s">
        <v>206</v>
      </c>
      <c r="I221" s="686" t="s">
        <v>24</v>
      </c>
      <c r="J221" s="110">
        <v>22.7</v>
      </c>
      <c r="K221" s="110"/>
      <c r="L221" s="103"/>
      <c r="M221" s="103"/>
      <c r="N221" s="1229" t="s">
        <v>271</v>
      </c>
      <c r="O221" s="174">
        <v>1</v>
      </c>
      <c r="P221" s="459"/>
      <c r="Q221" s="168"/>
      <c r="R221" s="201"/>
    </row>
    <row r="222" spans="1:20" ht="15.75" customHeight="1" x14ac:dyDescent="0.2">
      <c r="A222" s="1388"/>
      <c r="B222" s="1396"/>
      <c r="C222" s="1673"/>
      <c r="D222" s="1675"/>
      <c r="E222" s="1678"/>
      <c r="F222" s="1523"/>
      <c r="G222" s="620"/>
      <c r="H222" s="1689"/>
      <c r="I222" s="1280" t="s">
        <v>24</v>
      </c>
      <c r="J222" s="932">
        <v>2.2000000000000002</v>
      </c>
      <c r="K222" s="932"/>
      <c r="L222" s="260"/>
      <c r="M222" s="260"/>
      <c r="N222" s="1229" t="s">
        <v>272</v>
      </c>
      <c r="O222" s="174">
        <v>1</v>
      </c>
      <c r="P222" s="386"/>
      <c r="Q222" s="167"/>
      <c r="R222" s="257"/>
    </row>
    <row r="223" spans="1:20" ht="29.25" customHeight="1" x14ac:dyDescent="0.2">
      <c r="A223" s="1388"/>
      <c r="B223" s="1396"/>
      <c r="C223" s="1673"/>
      <c r="D223" s="1676"/>
      <c r="E223" s="1679"/>
      <c r="F223" s="1597"/>
      <c r="G223" s="621"/>
      <c r="H223" s="1650"/>
      <c r="I223" s="283" t="s">
        <v>24</v>
      </c>
      <c r="J223" s="613"/>
      <c r="K223" s="613"/>
      <c r="L223" s="104"/>
      <c r="M223" s="104"/>
      <c r="N223" s="1230"/>
      <c r="O223" s="176"/>
      <c r="P223" s="440"/>
      <c r="Q223" s="169"/>
      <c r="R223" s="217"/>
    </row>
    <row r="224" spans="1:20" ht="18.75" customHeight="1" x14ac:dyDescent="0.2">
      <c r="A224" s="1236"/>
      <c r="B224" s="1238"/>
      <c r="C224" s="309"/>
      <c r="D224" s="1287" t="s">
        <v>34</v>
      </c>
      <c r="E224" s="1373" t="s">
        <v>321</v>
      </c>
      <c r="F224" s="1232"/>
      <c r="G224" s="889"/>
      <c r="H224" s="1693" t="s">
        <v>206</v>
      </c>
      <c r="I224" s="686" t="s">
        <v>24</v>
      </c>
      <c r="J224" s="103">
        <v>165</v>
      </c>
      <c r="K224" s="103">
        <f>180+120</f>
        <v>300</v>
      </c>
      <c r="L224" s="103">
        <v>195</v>
      </c>
      <c r="M224" s="103">
        <v>195</v>
      </c>
      <c r="N224" s="1266" t="s">
        <v>274</v>
      </c>
      <c r="O224" s="654">
        <v>4</v>
      </c>
      <c r="P224" s="704">
        <v>3</v>
      </c>
      <c r="Q224" s="990">
        <v>3</v>
      </c>
      <c r="R224" s="705">
        <v>3</v>
      </c>
      <c r="S224" s="8"/>
      <c r="T224" s="8"/>
    </row>
    <row r="225" spans="1:21" ht="24.75" customHeight="1" x14ac:dyDescent="0.2">
      <c r="A225" s="1236"/>
      <c r="B225" s="1238"/>
      <c r="C225" s="309"/>
      <c r="D225" s="1239"/>
      <c r="E225" s="1387"/>
      <c r="F225" s="1233"/>
      <c r="G225" s="1242"/>
      <c r="H225" s="1689"/>
      <c r="I225" s="1280" t="s">
        <v>58</v>
      </c>
      <c r="J225" s="260">
        <v>35.1</v>
      </c>
      <c r="K225" s="102"/>
      <c r="L225" s="260"/>
      <c r="M225" s="260"/>
      <c r="N225" s="1269" t="s">
        <v>180</v>
      </c>
      <c r="O225" s="142">
        <v>3</v>
      </c>
      <c r="P225" s="328">
        <v>4</v>
      </c>
      <c r="Q225" s="383">
        <v>3</v>
      </c>
      <c r="R225" s="329">
        <v>3</v>
      </c>
      <c r="S225" s="8"/>
      <c r="T225" s="8"/>
    </row>
    <row r="226" spans="1:21" ht="13.5" customHeight="1" x14ac:dyDescent="0.2">
      <c r="A226" s="26"/>
      <c r="B226" s="1243"/>
      <c r="C226" s="309"/>
      <c r="D226" s="1239"/>
      <c r="E226" s="1387"/>
      <c r="F226" s="1249"/>
      <c r="G226" s="1242"/>
      <c r="H226" s="1689"/>
      <c r="I226" s="1280"/>
      <c r="J226" s="260"/>
      <c r="K226" s="102"/>
      <c r="L226" s="260"/>
      <c r="M226" s="260"/>
      <c r="N226" s="958"/>
      <c r="O226" s="142"/>
      <c r="P226" s="328"/>
      <c r="Q226" s="383"/>
      <c r="R226" s="329"/>
      <c r="S226" s="8"/>
      <c r="T226" s="8"/>
    </row>
    <row r="227" spans="1:21" ht="26.25" customHeight="1" x14ac:dyDescent="0.2">
      <c r="A227" s="26"/>
      <c r="B227" s="1243"/>
      <c r="C227" s="309"/>
      <c r="D227" s="1239"/>
      <c r="E227" s="1387"/>
      <c r="F227" s="1249"/>
      <c r="G227" s="1242"/>
      <c r="H227" s="1694"/>
      <c r="I227" s="1280"/>
      <c r="J227" s="260"/>
      <c r="K227" s="102"/>
      <c r="L227" s="260"/>
      <c r="M227" s="260"/>
      <c r="N227" s="44" t="s">
        <v>181</v>
      </c>
      <c r="O227" s="199">
        <v>8</v>
      </c>
      <c r="P227" s="469">
        <v>11</v>
      </c>
      <c r="Q227" s="617">
        <v>14</v>
      </c>
      <c r="R227" s="563">
        <v>14</v>
      </c>
      <c r="S227" s="8"/>
      <c r="T227" s="8"/>
    </row>
    <row r="228" spans="1:21" ht="17.25" customHeight="1" x14ac:dyDescent="0.2">
      <c r="A228" s="26"/>
      <c r="B228" s="1243"/>
      <c r="C228" s="309"/>
      <c r="D228" s="1239"/>
      <c r="E228" s="1387"/>
      <c r="F228" s="1249"/>
      <c r="G228" s="1242"/>
      <c r="H228" s="1284"/>
      <c r="I228" s="1280"/>
      <c r="J228" s="932"/>
      <c r="K228" s="932"/>
      <c r="L228" s="260"/>
      <c r="M228" s="260"/>
      <c r="N228" s="202" t="s">
        <v>273</v>
      </c>
      <c r="O228" s="184">
        <v>100</v>
      </c>
      <c r="P228" s="358">
        <v>100</v>
      </c>
      <c r="Q228" s="504">
        <v>100</v>
      </c>
      <c r="R228" s="359">
        <v>100</v>
      </c>
      <c r="S228" s="8"/>
      <c r="T228" s="8"/>
    </row>
    <row r="229" spans="1:21" ht="38.25" customHeight="1" x14ac:dyDescent="0.2">
      <c r="A229" s="26"/>
      <c r="B229" s="1243"/>
      <c r="C229" s="352"/>
      <c r="D229" s="1267"/>
      <c r="E229" s="1587"/>
      <c r="F229" s="118"/>
      <c r="G229" s="272"/>
      <c r="H229" s="845"/>
      <c r="I229" s="425"/>
      <c r="J229" s="147"/>
      <c r="K229" s="105"/>
      <c r="L229" s="105"/>
      <c r="M229" s="105"/>
      <c r="N229" s="202" t="s">
        <v>275</v>
      </c>
      <c r="O229" s="184">
        <v>5</v>
      </c>
      <c r="P229" s="358">
        <v>5</v>
      </c>
      <c r="Q229" s="504">
        <v>5</v>
      </c>
      <c r="R229" s="359">
        <v>5</v>
      </c>
      <c r="S229" s="8"/>
      <c r="T229" s="8"/>
      <c r="U229" s="241"/>
    </row>
    <row r="230" spans="1:21" s="50" customFormat="1" ht="50.25" customHeight="1" x14ac:dyDescent="0.2">
      <c r="A230" s="367"/>
      <c r="B230" s="368"/>
      <c r="C230" s="369"/>
      <c r="D230" s="1239"/>
      <c r="E230" s="584"/>
      <c r="F230" s="585"/>
      <c r="G230" s="586"/>
      <c r="H230" s="623" t="s">
        <v>242</v>
      </c>
      <c r="I230" s="446"/>
      <c r="J230" s="673"/>
      <c r="K230" s="152"/>
      <c r="L230" s="104"/>
      <c r="M230" s="104"/>
      <c r="N230" s="225" t="s">
        <v>243</v>
      </c>
      <c r="O230" s="176"/>
      <c r="P230" s="169">
        <v>1</v>
      </c>
      <c r="Q230" s="169"/>
      <c r="R230" s="217"/>
    </row>
    <row r="231" spans="1:21" ht="15.75" customHeight="1" thickBot="1" x14ac:dyDescent="0.25">
      <c r="A231" s="27"/>
      <c r="B231" s="1260"/>
      <c r="C231" s="302"/>
      <c r="D231" s="305"/>
      <c r="E231" s="315"/>
      <c r="F231" s="313"/>
      <c r="G231" s="314"/>
      <c r="H231" s="304"/>
      <c r="I231" s="23" t="s">
        <v>6</v>
      </c>
      <c r="J231" s="177">
        <f>SUM(J212:J230)</f>
        <v>2163.8000000000002</v>
      </c>
      <c r="K231" s="177">
        <f>SUM(K212:K230)</f>
        <v>1580.5</v>
      </c>
      <c r="L231" s="162">
        <f>SUM(L212:L230)</f>
        <v>1495</v>
      </c>
      <c r="M231" s="162">
        <f>SUM(M212:M230)</f>
        <v>1495</v>
      </c>
      <c r="N231" s="303"/>
      <c r="O231" s="318"/>
      <c r="P231" s="318"/>
      <c r="Q231" s="311"/>
      <c r="R231" s="570"/>
    </row>
    <row r="232" spans="1:21" ht="33" customHeight="1" x14ac:dyDescent="0.2">
      <c r="A232" s="30" t="s">
        <v>5</v>
      </c>
      <c r="B232" s="232" t="s">
        <v>26</v>
      </c>
      <c r="C232" s="312" t="s">
        <v>7</v>
      </c>
      <c r="D232" s="233"/>
      <c r="E232" s="937" t="s">
        <v>161</v>
      </c>
      <c r="F232" s="116"/>
      <c r="G232" s="1258" t="s">
        <v>50</v>
      </c>
      <c r="H232" s="1680" t="s">
        <v>75</v>
      </c>
      <c r="I232" s="183" t="s">
        <v>24</v>
      </c>
      <c r="J232" s="129"/>
      <c r="K232" s="124"/>
      <c r="L232" s="124"/>
      <c r="M232" s="124"/>
      <c r="N232" s="1253"/>
      <c r="O232" s="234"/>
      <c r="P232" s="506"/>
      <c r="Q232" s="1224"/>
      <c r="R232" s="509"/>
    </row>
    <row r="233" spans="1:21" ht="53.25" customHeight="1" x14ac:dyDescent="0.2">
      <c r="A233" s="273"/>
      <c r="B233" s="267"/>
      <c r="C233" s="1291"/>
      <c r="D233" s="669" t="s">
        <v>5</v>
      </c>
      <c r="E233" s="282" t="s">
        <v>155</v>
      </c>
      <c r="F233" s="670"/>
      <c r="G233" s="1242"/>
      <c r="H233" s="1655"/>
      <c r="I233" s="609" t="s">
        <v>24</v>
      </c>
      <c r="J233" s="163">
        <v>4</v>
      </c>
      <c r="K233" s="106">
        <v>4</v>
      </c>
      <c r="L233" s="106">
        <v>4</v>
      </c>
      <c r="M233" s="106"/>
      <c r="N233" s="405" t="s">
        <v>149</v>
      </c>
      <c r="O233" s="671"/>
      <c r="P233" s="507"/>
      <c r="Q233" s="991">
        <v>1</v>
      </c>
      <c r="R233" s="672"/>
    </row>
    <row r="234" spans="1:21" ht="53.25" customHeight="1" x14ac:dyDescent="0.2">
      <c r="A234" s="273"/>
      <c r="B234" s="267"/>
      <c r="C234" s="1291"/>
      <c r="D234" s="1267" t="s">
        <v>7</v>
      </c>
      <c r="E234" s="1264" t="s">
        <v>156</v>
      </c>
      <c r="F234" s="118"/>
      <c r="G234" s="1242"/>
      <c r="H234" s="1284"/>
      <c r="I234" s="1280" t="s">
        <v>24</v>
      </c>
      <c r="J234" s="932">
        <v>3.6</v>
      </c>
      <c r="K234" s="260"/>
      <c r="L234" s="260"/>
      <c r="M234" s="260"/>
      <c r="N234" s="1229" t="s">
        <v>149</v>
      </c>
      <c r="O234" s="661">
        <v>1</v>
      </c>
      <c r="P234" s="508"/>
      <c r="Q234" s="992"/>
      <c r="R234" s="489"/>
    </row>
    <row r="235" spans="1:21" ht="53.25" customHeight="1" x14ac:dyDescent="0.2">
      <c r="A235" s="273"/>
      <c r="B235" s="267"/>
      <c r="C235" s="1291"/>
      <c r="D235" s="669" t="s">
        <v>26</v>
      </c>
      <c r="E235" s="282" t="s">
        <v>293</v>
      </c>
      <c r="F235" s="670"/>
      <c r="G235" s="1242"/>
      <c r="H235" s="1284"/>
      <c r="I235" s="609" t="s">
        <v>24</v>
      </c>
      <c r="J235" s="163">
        <v>3</v>
      </c>
      <c r="K235" s="106"/>
      <c r="L235" s="106"/>
      <c r="M235" s="106"/>
      <c r="N235" s="405" t="s">
        <v>149</v>
      </c>
      <c r="O235" s="671">
        <v>1</v>
      </c>
      <c r="P235" s="507"/>
      <c r="Q235" s="991"/>
      <c r="R235" s="672"/>
    </row>
    <row r="236" spans="1:21" ht="57" customHeight="1" x14ac:dyDescent="0.2">
      <c r="A236" s="273"/>
      <c r="B236" s="267"/>
      <c r="C236" s="1291"/>
      <c r="D236" s="1267" t="s">
        <v>34</v>
      </c>
      <c r="E236" s="1264" t="s">
        <v>279</v>
      </c>
      <c r="F236" s="118"/>
      <c r="G236" s="1242"/>
      <c r="H236" s="1284"/>
      <c r="I236" s="1280" t="s">
        <v>24</v>
      </c>
      <c r="J236" s="932">
        <v>3.2</v>
      </c>
      <c r="K236" s="260">
        <v>3.2</v>
      </c>
      <c r="L236" s="260">
        <v>3.2</v>
      </c>
      <c r="M236" s="260"/>
      <c r="N236" s="1229" t="s">
        <v>149</v>
      </c>
      <c r="O236" s="661"/>
      <c r="P236" s="508"/>
      <c r="Q236" s="992">
        <v>1</v>
      </c>
      <c r="R236" s="489"/>
    </row>
    <row r="237" spans="1:21" ht="51" x14ac:dyDescent="0.2">
      <c r="A237" s="273"/>
      <c r="B237" s="267"/>
      <c r="C237" s="1291"/>
      <c r="D237" s="669" t="s">
        <v>35</v>
      </c>
      <c r="E237" s="282" t="s">
        <v>176</v>
      </c>
      <c r="F237" s="670"/>
      <c r="G237" s="1242"/>
      <c r="H237" s="1284"/>
      <c r="I237" s="609" t="s">
        <v>24</v>
      </c>
      <c r="J237" s="163">
        <v>4</v>
      </c>
      <c r="K237" s="106">
        <v>4</v>
      </c>
      <c r="L237" s="106">
        <v>4</v>
      </c>
      <c r="M237" s="106"/>
      <c r="N237" s="405" t="s">
        <v>149</v>
      </c>
      <c r="O237" s="671"/>
      <c r="P237" s="507"/>
      <c r="Q237" s="991">
        <v>1</v>
      </c>
      <c r="R237" s="672"/>
    </row>
    <row r="238" spans="1:21" ht="52.5" customHeight="1" x14ac:dyDescent="0.2">
      <c r="A238" s="273"/>
      <c r="B238" s="267"/>
      <c r="C238" s="1291"/>
      <c r="D238" s="669" t="s">
        <v>28</v>
      </c>
      <c r="E238" s="1265" t="s">
        <v>294</v>
      </c>
      <c r="F238" s="587"/>
      <c r="G238" s="1296"/>
      <c r="H238" s="427"/>
      <c r="I238" s="283" t="s">
        <v>24</v>
      </c>
      <c r="J238" s="613">
        <v>17.5</v>
      </c>
      <c r="K238" s="104"/>
      <c r="L238" s="104"/>
      <c r="M238" s="104"/>
      <c r="N238" s="405" t="s">
        <v>149</v>
      </c>
      <c r="O238" s="660">
        <v>1</v>
      </c>
      <c r="P238" s="481"/>
      <c r="Q238" s="1225"/>
      <c r="R238" s="65"/>
    </row>
    <row r="239" spans="1:21" ht="52.5" customHeight="1" x14ac:dyDescent="0.2">
      <c r="A239" s="273"/>
      <c r="B239" s="267"/>
      <c r="C239" s="1291"/>
      <c r="D239" s="669" t="s">
        <v>36</v>
      </c>
      <c r="E239" s="1265" t="s">
        <v>364</v>
      </c>
      <c r="F239" s="587"/>
      <c r="G239" s="1296"/>
      <c r="H239" s="427"/>
      <c r="I239" s="283" t="s">
        <v>24</v>
      </c>
      <c r="J239" s="613">
        <v>3</v>
      </c>
      <c r="K239" s="104"/>
      <c r="L239" s="104"/>
      <c r="M239" s="104"/>
      <c r="N239" s="405" t="s">
        <v>149</v>
      </c>
      <c r="O239" s="660">
        <v>1</v>
      </c>
      <c r="P239" s="481"/>
      <c r="Q239" s="1225"/>
      <c r="R239" s="65"/>
    </row>
    <row r="240" spans="1:21" ht="52.5" customHeight="1" x14ac:dyDescent="0.2">
      <c r="A240" s="273"/>
      <c r="B240" s="267"/>
      <c r="C240" s="1344"/>
      <c r="D240" s="1341" t="s">
        <v>29</v>
      </c>
      <c r="E240" s="1351" t="s">
        <v>364</v>
      </c>
      <c r="F240" s="587"/>
      <c r="G240" s="1343"/>
      <c r="H240" s="427"/>
      <c r="I240" s="283" t="s">
        <v>24</v>
      </c>
      <c r="J240" s="429">
        <v>11.3</v>
      </c>
      <c r="K240" s="104"/>
      <c r="L240" s="104"/>
      <c r="M240" s="104"/>
      <c r="N240" s="1352" t="s">
        <v>149</v>
      </c>
      <c r="O240" s="660">
        <v>1</v>
      </c>
      <c r="P240" s="481"/>
      <c r="Q240" s="1225"/>
      <c r="R240" s="65"/>
    </row>
    <row r="241" spans="1:48" ht="16.5" customHeight="1" thickBot="1" x14ac:dyDescent="0.25">
      <c r="A241" s="1259"/>
      <c r="B241" s="268"/>
      <c r="C241" s="302"/>
      <c r="D241" s="305"/>
      <c r="E241" s="315"/>
      <c r="F241" s="313"/>
      <c r="G241" s="314"/>
      <c r="H241" s="304"/>
      <c r="I241" s="23" t="s">
        <v>6</v>
      </c>
      <c r="J241" s="177">
        <f>SUM(J233:J240)</f>
        <v>49.6</v>
      </c>
      <c r="K241" s="177">
        <f t="shared" ref="K241:M241" si="7">SUM(K233:K240)</f>
        <v>11.2</v>
      </c>
      <c r="L241" s="177">
        <f t="shared" si="7"/>
        <v>11.2</v>
      </c>
      <c r="M241" s="177">
        <f t="shared" si="7"/>
        <v>0</v>
      </c>
      <c r="N241" s="303"/>
      <c r="O241" s="318"/>
      <c r="P241" s="318"/>
      <c r="Q241" s="311"/>
      <c r="R241" s="570"/>
    </row>
    <row r="242" spans="1:48" ht="13.5" thickBot="1" x14ac:dyDescent="0.25">
      <c r="A242" s="28" t="s">
        <v>5</v>
      </c>
      <c r="B242" s="6" t="s">
        <v>26</v>
      </c>
      <c r="C242" s="1518" t="s">
        <v>8</v>
      </c>
      <c r="D242" s="1519"/>
      <c r="E242" s="1519"/>
      <c r="F242" s="1519"/>
      <c r="G242" s="1519"/>
      <c r="H242" s="1519"/>
      <c r="I242" s="1520"/>
      <c r="J242" s="109">
        <f>J241+J231</f>
        <v>2213.4</v>
      </c>
      <c r="K242" s="109">
        <f>K241+K231</f>
        <v>1591.7</v>
      </c>
      <c r="L242" s="109">
        <f>L241+L231</f>
        <v>1506.2</v>
      </c>
      <c r="M242" s="109">
        <f>M241+M231</f>
        <v>1495</v>
      </c>
      <c r="N242" s="266"/>
      <c r="O242" s="266"/>
      <c r="P242" s="266"/>
      <c r="Q242" s="266"/>
      <c r="R242" s="229"/>
    </row>
    <row r="243" spans="1:48" ht="15.75" customHeight="1" thickBot="1" x14ac:dyDescent="0.25">
      <c r="A243" s="28" t="s">
        <v>5</v>
      </c>
      <c r="B243" s="6" t="s">
        <v>34</v>
      </c>
      <c r="C243" s="1369" t="s">
        <v>43</v>
      </c>
      <c r="D243" s="1524"/>
      <c r="E243" s="1524"/>
      <c r="F243" s="1524"/>
      <c r="G243" s="1524"/>
      <c r="H243" s="1524"/>
      <c r="I243" s="1524"/>
      <c r="J243" s="1268"/>
      <c r="K243" s="1268"/>
      <c r="L243" s="1268"/>
      <c r="M243" s="1268"/>
      <c r="N243" s="1228"/>
      <c r="O243" s="269"/>
      <c r="P243" s="269"/>
      <c r="Q243" s="269"/>
      <c r="R243" s="231"/>
    </row>
    <row r="244" spans="1:48" s="50" customFormat="1" ht="19.5" customHeight="1" x14ac:dyDescent="0.2">
      <c r="A244" s="1588" t="s">
        <v>5</v>
      </c>
      <c r="B244" s="1590" t="s">
        <v>34</v>
      </c>
      <c r="C244" s="1592" t="s">
        <v>5</v>
      </c>
      <c r="D244" s="1697"/>
      <c r="E244" s="1594" t="s">
        <v>196</v>
      </c>
      <c r="F244" s="1584" t="s">
        <v>47</v>
      </c>
      <c r="G244" s="1258" t="s">
        <v>27</v>
      </c>
      <c r="H244" s="1680" t="s">
        <v>78</v>
      </c>
      <c r="I244" s="211" t="s">
        <v>24</v>
      </c>
      <c r="J244" s="1364">
        <f>100-78.1</f>
        <v>21.9</v>
      </c>
      <c r="K244" s="1364">
        <f>200+78.1</f>
        <v>278.10000000000002</v>
      </c>
      <c r="L244" s="213">
        <v>200</v>
      </c>
      <c r="M244" s="213">
        <v>200</v>
      </c>
      <c r="N244" s="657" t="s">
        <v>195</v>
      </c>
      <c r="O244" s="254" t="s">
        <v>391</v>
      </c>
      <c r="P244" s="659">
        <v>670</v>
      </c>
      <c r="Q244" s="659">
        <v>670</v>
      </c>
      <c r="R244" s="600">
        <v>670</v>
      </c>
    </row>
    <row r="245" spans="1:48" s="50" customFormat="1" ht="15" customHeight="1" x14ac:dyDescent="0.2">
      <c r="A245" s="1589"/>
      <c r="B245" s="1591"/>
      <c r="C245" s="1593"/>
      <c r="D245" s="1698"/>
      <c r="E245" s="1595"/>
      <c r="F245" s="1585"/>
      <c r="G245" s="1242"/>
      <c r="H245" s="1654"/>
      <c r="I245" s="682" t="s">
        <v>58</v>
      </c>
      <c r="J245" s="683">
        <v>100</v>
      </c>
      <c r="K245" s="683"/>
      <c r="L245" s="683"/>
      <c r="M245" s="683"/>
      <c r="N245" s="684"/>
      <c r="O245" s="685"/>
      <c r="P245" s="685"/>
      <c r="Q245" s="685"/>
      <c r="R245" s="488"/>
    </row>
    <row r="246" spans="1:48" s="50" customFormat="1" ht="18" customHeight="1" x14ac:dyDescent="0.2">
      <c r="A246" s="1589"/>
      <c r="B246" s="1591"/>
      <c r="C246" s="1593"/>
      <c r="D246" s="1698"/>
      <c r="E246" s="1595"/>
      <c r="F246" s="1585"/>
      <c r="G246" s="1246"/>
      <c r="H246" s="1654"/>
      <c r="I246" s="406" t="s">
        <v>58</v>
      </c>
      <c r="J246" s="407">
        <v>123.9</v>
      </c>
      <c r="K246" s="407"/>
      <c r="L246" s="407"/>
      <c r="M246" s="407"/>
      <c r="N246" s="658"/>
      <c r="O246" s="655"/>
      <c r="P246" s="655"/>
      <c r="Q246" s="655"/>
      <c r="R246" s="656"/>
    </row>
    <row r="247" spans="1:48" s="50" customFormat="1" ht="18.75" customHeight="1" thickBot="1" x14ac:dyDescent="0.25">
      <c r="A247" s="335"/>
      <c r="B247" s="336"/>
      <c r="C247" s="340"/>
      <c r="D247" s="337"/>
      <c r="E247" s="338"/>
      <c r="F247" s="339"/>
      <c r="G247" s="290"/>
      <c r="H247" s="228"/>
      <c r="I247" s="51" t="s">
        <v>6</v>
      </c>
      <c r="J247" s="1045">
        <f>SUM(J244:J246)</f>
        <v>245.8</v>
      </c>
      <c r="K247" s="1045">
        <f t="shared" ref="K247:M247" si="8">SUM(K244:K246)</f>
        <v>278.10000000000002</v>
      </c>
      <c r="L247" s="1045">
        <f t="shared" ref="L247" si="9">SUM(L244:L246)</f>
        <v>200</v>
      </c>
      <c r="M247" s="1045">
        <f t="shared" si="8"/>
        <v>200</v>
      </c>
      <c r="N247" s="237"/>
      <c r="O247" s="214"/>
      <c r="P247" s="214"/>
      <c r="Q247" s="214"/>
      <c r="R247" s="215"/>
    </row>
    <row r="248" spans="1:48" ht="12.75" customHeight="1" x14ac:dyDescent="0.2">
      <c r="A248" s="1236" t="s">
        <v>5</v>
      </c>
      <c r="B248" s="1238" t="s">
        <v>34</v>
      </c>
      <c r="C248" s="1241" t="s">
        <v>7</v>
      </c>
      <c r="D248" s="1239"/>
      <c r="E248" s="1514" t="s">
        <v>127</v>
      </c>
      <c r="F248" s="118" t="s">
        <v>47</v>
      </c>
      <c r="G248" s="1242" t="s">
        <v>46</v>
      </c>
      <c r="H248" s="1654" t="s">
        <v>77</v>
      </c>
      <c r="I248" s="420" t="s">
        <v>24</v>
      </c>
      <c r="J248" s="260"/>
      <c r="K248" s="188"/>
      <c r="L248" s="188"/>
      <c r="M248" s="188"/>
      <c r="N248" s="253" t="s">
        <v>94</v>
      </c>
      <c r="O248" s="254" t="s">
        <v>50</v>
      </c>
      <c r="P248" s="510"/>
      <c r="Q248" s="510"/>
      <c r="R248" s="255"/>
    </row>
    <row r="249" spans="1:48" ht="18" customHeight="1" x14ac:dyDescent="0.2">
      <c r="A249" s="26"/>
      <c r="B249" s="1238"/>
      <c r="C249" s="69"/>
      <c r="D249" s="1241"/>
      <c r="E249" s="1514"/>
      <c r="F249" s="118"/>
      <c r="G249" s="1242"/>
      <c r="H249" s="1654"/>
      <c r="I249" s="419" t="s">
        <v>58</v>
      </c>
      <c r="J249" s="104">
        <v>46.8</v>
      </c>
      <c r="K249" s="104"/>
      <c r="L249" s="104"/>
      <c r="M249" s="104"/>
      <c r="N249" s="1279" t="s">
        <v>306</v>
      </c>
      <c r="O249" s="256"/>
      <c r="P249" s="167"/>
      <c r="Q249" s="167"/>
      <c r="R249" s="257"/>
    </row>
    <row r="250" spans="1:48" s="50" customFormat="1" ht="16.5" customHeight="1" thickBot="1" x14ac:dyDescent="0.25">
      <c r="A250" s="27"/>
      <c r="B250" s="61"/>
      <c r="C250" s="224"/>
      <c r="D250" s="33"/>
      <c r="E250" s="1586"/>
      <c r="F250" s="117"/>
      <c r="G250" s="441"/>
      <c r="H250" s="1699"/>
      <c r="I250" s="51" t="s">
        <v>6</v>
      </c>
      <c r="J250" s="1045">
        <f>SUM(J248:J249)</f>
        <v>46.8</v>
      </c>
      <c r="K250" s="1045">
        <f t="shared" ref="K250" si="10">SUM(K248:K249)</f>
        <v>0</v>
      </c>
      <c r="L250" s="1045">
        <f>L248</f>
        <v>0</v>
      </c>
      <c r="M250" s="1045">
        <f>M248</f>
        <v>0</v>
      </c>
      <c r="N250" s="237"/>
      <c r="O250" s="258"/>
      <c r="P250" s="511"/>
      <c r="Q250" s="511"/>
      <c r="R250" s="185"/>
    </row>
    <row r="251" spans="1:48" ht="17.25" customHeight="1" x14ac:dyDescent="0.2">
      <c r="A251" s="1236" t="s">
        <v>5</v>
      </c>
      <c r="B251" s="1238" t="s">
        <v>34</v>
      </c>
      <c r="C251" s="1241" t="s">
        <v>26</v>
      </c>
      <c r="D251" s="1239"/>
      <c r="E251" s="1514" t="s">
        <v>316</v>
      </c>
      <c r="F251" s="118" t="s">
        <v>47</v>
      </c>
      <c r="G251" s="1242" t="s">
        <v>46</v>
      </c>
      <c r="H251" s="1654" t="s">
        <v>287</v>
      </c>
      <c r="I251" s="420" t="s">
        <v>24</v>
      </c>
      <c r="J251" s="260">
        <v>20</v>
      </c>
      <c r="K251" s="188"/>
      <c r="L251" s="188"/>
      <c r="M251" s="188"/>
      <c r="N251" s="253" t="s">
        <v>234</v>
      </c>
      <c r="O251" s="254" t="s">
        <v>235</v>
      </c>
      <c r="P251" s="510"/>
      <c r="Q251" s="510"/>
      <c r="R251" s="255"/>
    </row>
    <row r="252" spans="1:48" ht="27" customHeight="1" x14ac:dyDescent="0.2">
      <c r="A252" s="26"/>
      <c r="B252" s="1238"/>
      <c r="C252" s="69"/>
      <c r="D252" s="1241"/>
      <c r="E252" s="1514"/>
      <c r="F252" s="118"/>
      <c r="G252" s="1242"/>
      <c r="H252" s="1654"/>
      <c r="I252" s="419"/>
      <c r="J252" s="104"/>
      <c r="K252" s="104"/>
      <c r="L252" s="104"/>
      <c r="M252" s="104"/>
      <c r="N252" s="1279"/>
      <c r="O252" s="256"/>
      <c r="P252" s="167"/>
      <c r="Q252" s="167"/>
      <c r="R252" s="257"/>
    </row>
    <row r="253" spans="1:48" s="50" customFormat="1" ht="17.25" customHeight="1" thickBot="1" x14ac:dyDescent="0.25">
      <c r="A253" s="27"/>
      <c r="B253" s="61"/>
      <c r="C253" s="224"/>
      <c r="D253" s="33"/>
      <c r="E253" s="1586"/>
      <c r="F253" s="117"/>
      <c r="G253" s="441"/>
      <c r="H253" s="1699"/>
      <c r="I253" s="51" t="s">
        <v>6</v>
      </c>
      <c r="J253" s="1045">
        <f>SUM(J251:J252)</f>
        <v>20</v>
      </c>
      <c r="K253" s="1045">
        <f t="shared" ref="K253" si="11">SUM(K251:K252)</f>
        <v>0</v>
      </c>
      <c r="L253" s="1045">
        <f>L251</f>
        <v>0</v>
      </c>
      <c r="M253" s="1045">
        <f>M251</f>
        <v>0</v>
      </c>
      <c r="N253" s="237"/>
      <c r="O253" s="258"/>
      <c r="P253" s="511"/>
      <c r="Q253" s="511"/>
      <c r="R253" s="185"/>
    </row>
    <row r="254" spans="1:48" ht="13.5" thickBot="1" x14ac:dyDescent="0.25">
      <c r="A254" s="1259" t="s">
        <v>5</v>
      </c>
      <c r="B254" s="268" t="s">
        <v>34</v>
      </c>
      <c r="C254" s="1564" t="s">
        <v>8</v>
      </c>
      <c r="D254" s="1565"/>
      <c r="E254" s="1565"/>
      <c r="F254" s="1565"/>
      <c r="G254" s="1565"/>
      <c r="H254" s="1565"/>
      <c r="I254" s="1565"/>
      <c r="J254" s="109">
        <f>J250+J247+J253</f>
        <v>312.60000000000002</v>
      </c>
      <c r="K254" s="109">
        <f t="shared" ref="K254:M254" si="12">K250+K247+K253</f>
        <v>278.10000000000002</v>
      </c>
      <c r="L254" s="109">
        <f t="shared" ref="L254" si="13">L250+L247+L253</f>
        <v>200</v>
      </c>
      <c r="M254" s="109">
        <f t="shared" si="12"/>
        <v>200</v>
      </c>
      <c r="N254" s="266"/>
      <c r="O254" s="266"/>
      <c r="P254" s="266"/>
      <c r="Q254" s="266"/>
      <c r="R254" s="229"/>
    </row>
    <row r="255" spans="1:48" ht="14.25" customHeight="1" thickBot="1" x14ac:dyDescent="0.25">
      <c r="A255" s="29" t="s">
        <v>5</v>
      </c>
      <c r="B255" s="1566" t="s">
        <v>9</v>
      </c>
      <c r="C255" s="1567"/>
      <c r="D255" s="1567"/>
      <c r="E255" s="1567"/>
      <c r="F255" s="1567"/>
      <c r="G255" s="1567"/>
      <c r="H255" s="1567"/>
      <c r="I255" s="1567"/>
      <c r="J255" s="300">
        <f>J254+J242+J209+J192</f>
        <v>12709.7</v>
      </c>
      <c r="K255" s="300">
        <f>K254+K242+K209+K192</f>
        <v>22919.7</v>
      </c>
      <c r="L255" s="300">
        <f>L254+L242+L209+L192</f>
        <v>22636.1</v>
      </c>
      <c r="M255" s="300">
        <f>M254+M242+M209+M192</f>
        <v>9017.7999999999993</v>
      </c>
      <c r="N255" s="1568"/>
      <c r="O255" s="1695"/>
      <c r="P255" s="1695"/>
      <c r="Q255" s="1695"/>
      <c r="R255" s="1696"/>
    </row>
    <row r="256" spans="1:48" ht="14.25" customHeight="1" thickBot="1" x14ac:dyDescent="0.25">
      <c r="A256" s="21" t="s">
        <v>36</v>
      </c>
      <c r="B256" s="1571" t="s">
        <v>56</v>
      </c>
      <c r="C256" s="1572"/>
      <c r="D256" s="1572"/>
      <c r="E256" s="1572"/>
      <c r="F256" s="1572"/>
      <c r="G256" s="1572"/>
      <c r="H256" s="1572"/>
      <c r="I256" s="1572"/>
      <c r="J256" s="113">
        <f t="shared" ref="J256:M256" si="14">SUM(J255)</f>
        <v>12709.7</v>
      </c>
      <c r="K256" s="301">
        <f t="shared" ref="K256:L256" si="15">SUM(K255)</f>
        <v>22919.7</v>
      </c>
      <c r="L256" s="301">
        <f t="shared" si="15"/>
        <v>22636.1</v>
      </c>
      <c r="M256" s="301">
        <f t="shared" si="14"/>
        <v>9017.7999999999993</v>
      </c>
      <c r="N256" s="1582"/>
      <c r="O256" s="1582"/>
      <c r="P256" s="1582"/>
      <c r="Q256" s="1582"/>
      <c r="R256" s="1583"/>
      <c r="S256" s="8"/>
      <c r="T256" s="8"/>
      <c r="U256" s="8"/>
      <c r="V256" s="8"/>
      <c r="W256" s="8"/>
      <c r="X256" s="8"/>
      <c r="Y256" s="8"/>
      <c r="Z256" s="8"/>
      <c r="AA256" s="8"/>
      <c r="AB256" s="8"/>
      <c r="AC256" s="8"/>
      <c r="AD256" s="8"/>
      <c r="AE256" s="8"/>
      <c r="AF256" s="8"/>
      <c r="AG256" s="8"/>
      <c r="AH256" s="8"/>
      <c r="AI256" s="8"/>
      <c r="AJ256" s="8"/>
      <c r="AK256" s="8"/>
      <c r="AL256" s="8"/>
      <c r="AM256" s="8"/>
      <c r="AN256" s="8"/>
      <c r="AO256" s="8"/>
      <c r="AP256" s="8"/>
      <c r="AQ256" s="8"/>
      <c r="AR256" s="8"/>
      <c r="AS256" s="8"/>
      <c r="AT256" s="8"/>
      <c r="AU256" s="8"/>
      <c r="AV256" s="8"/>
    </row>
    <row r="257" spans="1:48" s="10" customFormat="1" ht="16.5" customHeight="1" x14ac:dyDescent="0.2">
      <c r="A257" s="608"/>
      <c r="B257" s="1058"/>
      <c r="C257" s="1058"/>
      <c r="D257" s="1058"/>
      <c r="E257" s="1058"/>
      <c r="F257" s="1058"/>
      <c r="G257" s="1058"/>
      <c r="H257" s="1058"/>
      <c r="I257" s="1058"/>
      <c r="J257" s="1058"/>
      <c r="K257" s="1058"/>
      <c r="L257" s="1058"/>
      <c r="M257" s="1058"/>
      <c r="N257" s="1058"/>
      <c r="O257" s="608"/>
      <c r="P257" s="608"/>
      <c r="Q257" s="608"/>
      <c r="R257" s="608"/>
    </row>
    <row r="258" spans="1:48" s="10" customFormat="1" ht="17.25" customHeight="1" x14ac:dyDescent="0.2">
      <c r="A258" s="608"/>
      <c r="B258" s="1059"/>
      <c r="C258" s="1059"/>
      <c r="D258" s="1059"/>
      <c r="E258" s="1059"/>
      <c r="F258" s="1059"/>
      <c r="G258" s="1059"/>
      <c r="H258" s="1059"/>
      <c r="I258" s="1059"/>
      <c r="J258" s="1059"/>
      <c r="K258" s="1059"/>
      <c r="L258" s="1059"/>
      <c r="M258" s="1059"/>
      <c r="N258" s="1059"/>
      <c r="O258" s="608"/>
      <c r="P258" s="608"/>
      <c r="Q258" s="608"/>
      <c r="R258" s="608"/>
    </row>
    <row r="259" spans="1:48" s="11" customFormat="1" ht="14.25" customHeight="1" thickBot="1" x14ac:dyDescent="0.25">
      <c r="A259" s="1551" t="s">
        <v>13</v>
      </c>
      <c r="B259" s="1551"/>
      <c r="C259" s="1551"/>
      <c r="D259" s="1551"/>
      <c r="E259" s="1551"/>
      <c r="F259" s="1551"/>
      <c r="G259" s="1551"/>
      <c r="H259" s="1551"/>
      <c r="I259" s="1551"/>
      <c r="J259" s="1270"/>
      <c r="K259" s="1270"/>
      <c r="L259" s="1270"/>
      <c r="M259" s="1270"/>
      <c r="N259" s="18"/>
      <c r="O259" s="18"/>
      <c r="P259" s="18"/>
      <c r="Q259" s="18"/>
      <c r="R259" s="18"/>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c r="AU259" s="10"/>
      <c r="AV259" s="10"/>
    </row>
    <row r="260" spans="1:48" ht="57" customHeight="1" thickBot="1" x14ac:dyDescent="0.25">
      <c r="A260" s="1552" t="s">
        <v>10</v>
      </c>
      <c r="B260" s="1553"/>
      <c r="C260" s="1553"/>
      <c r="D260" s="1553"/>
      <c r="E260" s="1553"/>
      <c r="F260" s="1553"/>
      <c r="G260" s="1553"/>
      <c r="H260" s="1553"/>
      <c r="I260" s="1554"/>
      <c r="J260" s="542" t="s">
        <v>231</v>
      </c>
      <c r="K260" s="542" t="s">
        <v>371</v>
      </c>
      <c r="L260" s="238" t="s">
        <v>224</v>
      </c>
      <c r="M260" s="238" t="s">
        <v>372</v>
      </c>
      <c r="N260" s="2"/>
      <c r="O260" s="2"/>
      <c r="P260" s="2"/>
      <c r="Q260" s="2"/>
      <c r="R260" s="2"/>
      <c r="S260" s="8"/>
      <c r="T260" s="8"/>
      <c r="U260" s="8"/>
      <c r="V260" s="8"/>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c r="AV260" s="8"/>
    </row>
    <row r="261" spans="1:48" ht="14.25" customHeight="1" x14ac:dyDescent="0.2">
      <c r="A261" s="1555" t="s">
        <v>14</v>
      </c>
      <c r="B261" s="1556"/>
      <c r="C261" s="1556"/>
      <c r="D261" s="1556"/>
      <c r="E261" s="1556"/>
      <c r="F261" s="1556"/>
      <c r="G261" s="1556"/>
      <c r="H261" s="1556"/>
      <c r="I261" s="1557"/>
      <c r="J261" s="412">
        <f>J262+J271+J272+J273+J270</f>
        <v>11907.2</v>
      </c>
      <c r="K261" s="412">
        <f>K262+K271+K272+K273+K270</f>
        <v>19389.3</v>
      </c>
      <c r="L261" s="412">
        <f>L262+L271+L272+L273+L270</f>
        <v>16369.6</v>
      </c>
      <c r="M261" s="412">
        <f>M262+M271+M272+M273+M270</f>
        <v>9017.7999999999993</v>
      </c>
      <c r="S261" s="8"/>
      <c r="T261" s="8"/>
      <c r="U261" s="8"/>
      <c r="V261" s="8"/>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c r="AV261" s="8"/>
    </row>
    <row r="262" spans="1:48" ht="14.25" customHeight="1" x14ac:dyDescent="0.2">
      <c r="A262" s="1558" t="s">
        <v>88</v>
      </c>
      <c r="B262" s="1559"/>
      <c r="C262" s="1559"/>
      <c r="D262" s="1559"/>
      <c r="E262" s="1559"/>
      <c r="F262" s="1559"/>
      <c r="G262" s="1559"/>
      <c r="H262" s="1559"/>
      <c r="I262" s="1560"/>
      <c r="J262" s="92">
        <f>SUM(J263:J269)</f>
        <v>9101.6</v>
      </c>
      <c r="K262" s="92">
        <f>SUM(K263:K269)</f>
        <v>19389.3</v>
      </c>
      <c r="L262" s="92">
        <f>SUM(L263:L269)</f>
        <v>16369.6</v>
      </c>
      <c r="M262" s="92">
        <f>SUM(M263:M269)</f>
        <v>9017.7999999999993</v>
      </c>
      <c r="N262" s="299"/>
      <c r="S262" s="8"/>
      <c r="T262" s="8"/>
      <c r="U262" s="8"/>
      <c r="V262" s="8"/>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row>
    <row r="263" spans="1:48" ht="14.25" customHeight="1" x14ac:dyDescent="0.2">
      <c r="A263" s="1561" t="s">
        <v>18</v>
      </c>
      <c r="B263" s="1562"/>
      <c r="C263" s="1562"/>
      <c r="D263" s="1562"/>
      <c r="E263" s="1562"/>
      <c r="F263" s="1562"/>
      <c r="G263" s="1562"/>
      <c r="H263" s="1562"/>
      <c r="I263" s="1563"/>
      <c r="J263" s="104">
        <f>SUMIF(I10:I256,"SB",J10:J256)</f>
        <v>9056.6</v>
      </c>
      <c r="K263" s="104">
        <f>SUMIF(I15:I256,"SB",K15:K256)</f>
        <v>13074.1</v>
      </c>
      <c r="L263" s="104">
        <f>SUMIF(I15:I256,"SB",L15:L256)</f>
        <v>13304.2</v>
      </c>
      <c r="M263" s="104">
        <f>SUMIF(I15:I256,"SB",M15:M256)</f>
        <v>8983.1</v>
      </c>
      <c r="N263" s="14"/>
      <c r="S263" s="8"/>
      <c r="T263" s="8"/>
      <c r="U263" s="8"/>
      <c r="V263" s="8"/>
      <c r="W263" s="8"/>
      <c r="X263" s="8"/>
      <c r="Y263" s="8"/>
      <c r="Z263" s="8"/>
      <c r="AA263" s="8"/>
      <c r="AB263" s="8"/>
      <c r="AC263" s="8"/>
      <c r="AD263" s="8"/>
      <c r="AE263" s="8"/>
      <c r="AF263" s="8"/>
      <c r="AG263" s="8"/>
      <c r="AH263" s="8"/>
      <c r="AI263" s="8"/>
      <c r="AJ263" s="8"/>
      <c r="AK263" s="8"/>
      <c r="AL263" s="8"/>
      <c r="AM263" s="8"/>
      <c r="AN263" s="8"/>
      <c r="AO263" s="8"/>
      <c r="AP263" s="8"/>
      <c r="AQ263" s="8"/>
      <c r="AR263" s="8"/>
      <c r="AS263" s="8"/>
      <c r="AT263" s="8"/>
      <c r="AU263" s="8"/>
      <c r="AV263" s="8"/>
    </row>
    <row r="264" spans="1:48" ht="14.25" customHeight="1" x14ac:dyDescent="0.2">
      <c r="A264" s="1542" t="s">
        <v>19</v>
      </c>
      <c r="B264" s="1543"/>
      <c r="C264" s="1543"/>
      <c r="D264" s="1543"/>
      <c r="E264" s="1543"/>
      <c r="F264" s="1543"/>
      <c r="G264" s="1543"/>
      <c r="H264" s="1543"/>
      <c r="I264" s="1544"/>
      <c r="J264" s="133">
        <f>SUMIF(I11:I256,"SB(SP)",J11:J256)</f>
        <v>34.700000000000003</v>
      </c>
      <c r="K264" s="133">
        <f>SUMIF(I15:I256,"SB(SP)",K15:K256)</f>
        <v>34.700000000000003</v>
      </c>
      <c r="L264" s="133">
        <f>SUMIF(I15:I256,"SB(SP)",L15:L256)</f>
        <v>34.700000000000003</v>
      </c>
      <c r="M264" s="133">
        <f>SUMIF(I15:I256,"SB(SP)",M15:M256)</f>
        <v>34.700000000000003</v>
      </c>
      <c r="N264" s="19"/>
    </row>
    <row r="265" spans="1:48" ht="12.75" customHeight="1" x14ac:dyDescent="0.2">
      <c r="A265" s="1542" t="s">
        <v>66</v>
      </c>
      <c r="B265" s="1543"/>
      <c r="C265" s="1543"/>
      <c r="D265" s="1543"/>
      <c r="E265" s="1543"/>
      <c r="F265" s="1543"/>
      <c r="G265" s="1543"/>
      <c r="H265" s="1543"/>
      <c r="I265" s="1544"/>
      <c r="J265" s="133">
        <f>SUMIF(I11:I256,"SB(VR)",J11:J256)</f>
        <v>0</v>
      </c>
      <c r="K265" s="133">
        <f>SUMIF(I11:I256,"SB(VR)",K11:K256)</f>
        <v>0</v>
      </c>
      <c r="L265" s="133">
        <f>SUMIF(I11:I256,"SB(VR)",L11:L256)</f>
        <v>0</v>
      </c>
      <c r="M265" s="133">
        <f>SUMIF(I11:I256,"SB(VR)",M11:M256)</f>
        <v>0</v>
      </c>
      <c r="N265" s="16"/>
      <c r="O265" s="1"/>
      <c r="P265" s="1"/>
      <c r="Q265" s="1"/>
      <c r="R265" s="1"/>
    </row>
    <row r="266" spans="1:48" x14ac:dyDescent="0.2">
      <c r="A266" s="1542" t="s">
        <v>20</v>
      </c>
      <c r="B266" s="1543"/>
      <c r="C266" s="1543"/>
      <c r="D266" s="1543"/>
      <c r="E266" s="1543"/>
      <c r="F266" s="1543"/>
      <c r="G266" s="1543"/>
      <c r="H266" s="1543"/>
      <c r="I266" s="1544"/>
      <c r="J266" s="133">
        <f>SUMIF(I11:I256,"SB(P)",J11:J256)</f>
        <v>0</v>
      </c>
      <c r="K266" s="133">
        <f>SUMIF(I11:I256,"SB(P)",K11:K256)</f>
        <v>0</v>
      </c>
      <c r="L266" s="133">
        <f>SUMIF(I11:I256,"SB(P)",L11:L256)</f>
        <v>0</v>
      </c>
      <c r="M266" s="133">
        <f>SUMIF(I11:I256,"SB(P)",M11:M256)</f>
        <v>0</v>
      </c>
      <c r="N266" s="16"/>
      <c r="O266" s="1"/>
      <c r="P266" s="1"/>
      <c r="Q266" s="1"/>
      <c r="R266" s="1"/>
    </row>
    <row r="267" spans="1:48" x14ac:dyDescent="0.2">
      <c r="A267" s="1542" t="s">
        <v>91</v>
      </c>
      <c r="B267" s="1543"/>
      <c r="C267" s="1543"/>
      <c r="D267" s="1543"/>
      <c r="E267" s="1543"/>
      <c r="F267" s="1543"/>
      <c r="G267" s="1543"/>
      <c r="H267" s="1543"/>
      <c r="I267" s="1544"/>
      <c r="J267" s="133">
        <f>SUMIF(I12:I256,"SB(VB)",J12:J256)</f>
        <v>0.9</v>
      </c>
      <c r="K267" s="133">
        <f>SUMIF(I13:I256,"SB(VB)",K13:K256)</f>
        <v>509.2</v>
      </c>
      <c r="L267" s="133">
        <f>SUMIF(I13:I256,"SB(VB)",L13:L256)</f>
        <v>245.8</v>
      </c>
      <c r="M267" s="133">
        <f>SUMIF(I13:I256,"SB(VB)",M13:M256)</f>
        <v>0</v>
      </c>
    </row>
    <row r="268" spans="1:48" x14ac:dyDescent="0.2">
      <c r="A268" s="1545" t="s">
        <v>168</v>
      </c>
      <c r="B268" s="1546"/>
      <c r="C268" s="1546"/>
      <c r="D268" s="1546"/>
      <c r="E268" s="1546"/>
      <c r="F268" s="1546"/>
      <c r="G268" s="1546"/>
      <c r="H268" s="1546"/>
      <c r="I268" s="1547"/>
      <c r="J268" s="133">
        <f>SUMIF(I11:I256,"SB(KPP)",J11:J256)</f>
        <v>0</v>
      </c>
      <c r="K268" s="133">
        <f>SUMIF(I14:I250,"SB(KPP)",K14:K250)</f>
        <v>0</v>
      </c>
      <c r="L268" s="133">
        <f>SUMIF(I14:I250,"SB(KPP)",L14:L250)</f>
        <v>0</v>
      </c>
      <c r="M268" s="133">
        <f>SUMIF(I14:I250,"SB(KPP)",M14:M250)</f>
        <v>0</v>
      </c>
      <c r="N268" s="46"/>
      <c r="O268" s="46"/>
      <c r="P268" s="46"/>
      <c r="Q268" s="46"/>
      <c r="R268" s="46"/>
    </row>
    <row r="269" spans="1:48" ht="14.25" customHeight="1" x14ac:dyDescent="0.2">
      <c r="A269" s="1548" t="s">
        <v>152</v>
      </c>
      <c r="B269" s="1549"/>
      <c r="C269" s="1549"/>
      <c r="D269" s="1549"/>
      <c r="E269" s="1549"/>
      <c r="F269" s="1549"/>
      <c r="G269" s="1549"/>
      <c r="H269" s="1549"/>
      <c r="I269" s="1550"/>
      <c r="J269" s="133">
        <f>SUMIF(I11:I254,"SB(ES)",J11:J254)</f>
        <v>9.4</v>
      </c>
      <c r="K269" s="133">
        <f>SUMIF(I14:I255,"SB(ES)",K14:K255)</f>
        <v>5771.3</v>
      </c>
      <c r="L269" s="133">
        <f>SUMIF(I14:I255,"SB(ES)",L14:L255)</f>
        <v>2784.9</v>
      </c>
      <c r="M269" s="133">
        <f>SUMIF(I14:I255,"SB(ES)",M14:M255)</f>
        <v>0</v>
      </c>
    </row>
    <row r="270" spans="1:48" ht="14.25" customHeight="1" x14ac:dyDescent="0.2">
      <c r="A270" s="1533" t="s">
        <v>59</v>
      </c>
      <c r="B270" s="1534"/>
      <c r="C270" s="1534"/>
      <c r="D270" s="1534"/>
      <c r="E270" s="1534"/>
      <c r="F270" s="1534"/>
      <c r="G270" s="1534"/>
      <c r="H270" s="1534"/>
      <c r="I270" s="1535"/>
      <c r="J270" s="276">
        <f>SUMIF(I11:I250,"SB(L)",J11:J250)</f>
        <v>2801.2</v>
      </c>
      <c r="K270" s="276">
        <f>SUMIF(I15:I250,"SB(L)",K15:K250)</f>
        <v>0</v>
      </c>
      <c r="L270" s="276">
        <f>SUMIF(I15:I250,"SB(L)",L15:L250)</f>
        <v>0</v>
      </c>
      <c r="M270" s="276">
        <f>SUMIF(I15:I250,"SB(L)",M15:M250)</f>
        <v>0</v>
      </c>
    </row>
    <row r="271" spans="1:48" x14ac:dyDescent="0.2">
      <c r="A271" s="1533" t="s">
        <v>89</v>
      </c>
      <c r="B271" s="1534"/>
      <c r="C271" s="1534"/>
      <c r="D271" s="1534"/>
      <c r="E271" s="1534"/>
      <c r="F271" s="1534"/>
      <c r="G271" s="1534"/>
      <c r="H271" s="1534"/>
      <c r="I271" s="1535"/>
      <c r="J271" s="539">
        <f>SUMIF(I15:I256,"SB(SPL)",J15:J256)</f>
        <v>4.4000000000000004</v>
      </c>
      <c r="K271" s="539">
        <f>SUMIF(I15:I256,"SB(SPL)",K15:K256)</f>
        <v>0</v>
      </c>
      <c r="L271" s="94">
        <f>SUMIF(I15:I256,"SB(SPL)",L15:L256)</f>
        <v>0</v>
      </c>
      <c r="M271" s="94">
        <f>SUMIF(J15:J256,"SB(SPL)",M15:M256)</f>
        <v>0</v>
      </c>
    </row>
    <row r="272" spans="1:48" x14ac:dyDescent="0.2">
      <c r="A272" s="1533" t="s">
        <v>92</v>
      </c>
      <c r="B272" s="1534"/>
      <c r="C272" s="1534"/>
      <c r="D272" s="1534"/>
      <c r="E272" s="1534"/>
      <c r="F272" s="1534"/>
      <c r="G272" s="1534"/>
      <c r="H272" s="1534"/>
      <c r="I272" s="1535"/>
      <c r="J272" s="539">
        <f>SUMIF(I11:I256,"SB(ŽPL)",J11:J256)</f>
        <v>0</v>
      </c>
      <c r="K272" s="539">
        <f>SUMIF(I11:I256,"SB(ŽPL)",K11:K256)</f>
        <v>0</v>
      </c>
      <c r="L272" s="94">
        <f>SUMIF(I11:I256,"SB(ŽPL)",L11:L256)</f>
        <v>0</v>
      </c>
      <c r="M272" s="94">
        <f>SUMIF(J11:J256,"SB(ŽPL)",M11:M256)</f>
        <v>0</v>
      </c>
    </row>
    <row r="273" spans="1:18" ht="12" customHeight="1" x14ac:dyDescent="0.2">
      <c r="A273" s="1533" t="s">
        <v>90</v>
      </c>
      <c r="B273" s="1534"/>
      <c r="C273" s="1534"/>
      <c r="D273" s="1534"/>
      <c r="E273" s="1534"/>
      <c r="F273" s="1534"/>
      <c r="G273" s="1534"/>
      <c r="H273" s="1534"/>
      <c r="I273" s="1535"/>
      <c r="J273" s="276">
        <f>SUMIF(I11:I256,"SB(VRL)",J11:J256)</f>
        <v>0</v>
      </c>
      <c r="K273" s="276">
        <f>SUMIF(I15:I256,"SB(VRL)",K15:K256)</f>
        <v>0</v>
      </c>
      <c r="L273" s="276">
        <f>SUMIF(I15:I256,"SB(VRL)",L15:L256)</f>
        <v>0</v>
      </c>
      <c r="M273" s="276">
        <f>SUMIF(J15:J256,"SB(VRL)",M15:M256)</f>
        <v>0</v>
      </c>
    </row>
    <row r="274" spans="1:18" x14ac:dyDescent="0.2">
      <c r="A274" s="1536" t="s">
        <v>15</v>
      </c>
      <c r="B274" s="1537"/>
      <c r="C274" s="1537"/>
      <c r="D274" s="1537"/>
      <c r="E274" s="1537"/>
      <c r="F274" s="1537"/>
      <c r="G274" s="1537"/>
      <c r="H274" s="1537"/>
      <c r="I274" s="1538"/>
      <c r="J274" s="544">
        <f t="shared" ref="J274:M274" si="16">SUM(J275:J278)</f>
        <v>802.5</v>
      </c>
      <c r="K274" s="544">
        <f t="shared" si="16"/>
        <v>3530.4</v>
      </c>
      <c r="L274" s="693">
        <f t="shared" ref="L274" si="17">SUM(L275:L278)</f>
        <v>6266.5</v>
      </c>
      <c r="M274" s="693">
        <f t="shared" si="16"/>
        <v>0</v>
      </c>
    </row>
    <row r="275" spans="1:18" x14ac:dyDescent="0.2">
      <c r="A275" s="1539" t="s">
        <v>133</v>
      </c>
      <c r="B275" s="1540"/>
      <c r="C275" s="1540"/>
      <c r="D275" s="1540"/>
      <c r="E275" s="1540"/>
      <c r="F275" s="1540"/>
      <c r="G275" s="1540"/>
      <c r="H275" s="1540"/>
      <c r="I275" s="1541"/>
      <c r="J275" s="133">
        <f>SUMIF(I14:I256,"KVJUD",J14:J256)</f>
        <v>0</v>
      </c>
      <c r="K275" s="133">
        <f>SUMIF(I15:I256,"KVJUD",K14:K256)</f>
        <v>0</v>
      </c>
      <c r="L275" s="133">
        <f>SUMIF(I14:I256,"KVJUD",L14:L256)</f>
        <v>0</v>
      </c>
      <c r="M275" s="133">
        <f>SUMIF(I14:I256,"KVJUD",M14:M256)</f>
        <v>0</v>
      </c>
    </row>
    <row r="276" spans="1:18" ht="13.5" customHeight="1" x14ac:dyDescent="0.2">
      <c r="A276" s="1542" t="s">
        <v>22</v>
      </c>
      <c r="B276" s="1543"/>
      <c r="C276" s="1543"/>
      <c r="D276" s="1543"/>
      <c r="E276" s="1543"/>
      <c r="F276" s="1543"/>
      <c r="G276" s="1543"/>
      <c r="H276" s="1543"/>
      <c r="I276" s="1544"/>
      <c r="J276" s="133">
        <f>SUMIF(I11:I256,"LRVB",J11:J256)</f>
        <v>65.099999999999994</v>
      </c>
      <c r="K276" s="133">
        <f>SUMIF(I11:I256,"LRVB",K11:K256)</f>
        <v>210.3</v>
      </c>
      <c r="L276" s="133">
        <f>SUMIF(I11:I256,"LRVB",L11:L256)</f>
        <v>432.1</v>
      </c>
      <c r="M276" s="133">
        <f>SUMIF(I11:I256,"LRVB",M11:M256)</f>
        <v>0</v>
      </c>
    </row>
    <row r="277" spans="1:18" ht="14.25" customHeight="1" x14ac:dyDescent="0.2">
      <c r="A277" s="1548" t="s">
        <v>21</v>
      </c>
      <c r="B277" s="1549"/>
      <c r="C277" s="1549"/>
      <c r="D277" s="1549"/>
      <c r="E277" s="1549"/>
      <c r="F277" s="1549"/>
      <c r="G277" s="1549"/>
      <c r="H277" s="1549"/>
      <c r="I277" s="1550"/>
      <c r="J277" s="93">
        <f>SUMIF(I15:I254,"ES",J15:J254)</f>
        <v>737.4</v>
      </c>
      <c r="K277" s="93">
        <f>SUMIF(I15:I250,"ES",K15:K250)</f>
        <v>2382.8000000000002</v>
      </c>
      <c r="L277" s="93">
        <f>SUMIF(I15:I250,"ES",L15:L250)</f>
        <v>4897.1000000000004</v>
      </c>
      <c r="M277" s="93">
        <f>SUMIF(I15:I250,"ES",M15:M250)</f>
        <v>0</v>
      </c>
    </row>
    <row r="278" spans="1:18" ht="15.75" customHeight="1" x14ac:dyDescent="0.2">
      <c r="A278" s="1542" t="s">
        <v>23</v>
      </c>
      <c r="B278" s="1543"/>
      <c r="C278" s="1543"/>
      <c r="D278" s="1543"/>
      <c r="E278" s="1543"/>
      <c r="F278" s="1543"/>
      <c r="G278" s="1543"/>
      <c r="H278" s="1543"/>
      <c r="I278" s="1544"/>
      <c r="J278" s="133">
        <f>SUMIF(I11:I256,"Kt",J11:J256)</f>
        <v>0</v>
      </c>
      <c r="K278" s="133">
        <f>SUMIF(I11:I256,"Kt",K11:K256)</f>
        <v>937.3</v>
      </c>
      <c r="L278" s="133">
        <f>SUMIF(I11:I256,"Kt",L11:L256)</f>
        <v>937.3</v>
      </c>
      <c r="M278" s="133">
        <f>SUMIF(I11:I256,"Kt",M11:M256)</f>
        <v>0</v>
      </c>
    </row>
    <row r="279" spans="1:18" ht="15" customHeight="1" thickBot="1" x14ac:dyDescent="0.25">
      <c r="A279" s="1574" t="s">
        <v>16</v>
      </c>
      <c r="B279" s="1575"/>
      <c r="C279" s="1575"/>
      <c r="D279" s="1575"/>
      <c r="E279" s="1575"/>
      <c r="F279" s="1575"/>
      <c r="G279" s="1575"/>
      <c r="H279" s="1575"/>
      <c r="I279" s="1576"/>
      <c r="J279" s="414">
        <f>SUM(J261,J274)</f>
        <v>12709.7</v>
      </c>
      <c r="K279" s="414">
        <f>SUM(K261,K274)</f>
        <v>22919.7</v>
      </c>
      <c r="L279" s="414">
        <f>SUM(L261,L274)</f>
        <v>22636.1</v>
      </c>
      <c r="M279" s="414">
        <f>SUM(M261,M274)</f>
        <v>9017.7999999999993</v>
      </c>
      <c r="O279" s="3"/>
      <c r="P279" s="3"/>
      <c r="Q279" s="3"/>
      <c r="R279" s="3"/>
    </row>
    <row r="280" spans="1:18" x14ac:dyDescent="0.2">
      <c r="J280" s="10"/>
      <c r="K280" s="10"/>
      <c r="L280" s="10"/>
      <c r="M280" s="10"/>
      <c r="N280" s="10"/>
      <c r="O280" s="8"/>
      <c r="P280" s="8"/>
      <c r="Q280" s="8"/>
      <c r="R280" s="8"/>
    </row>
    <row r="281" spans="1:18" x14ac:dyDescent="0.2">
      <c r="J281" s="216"/>
      <c r="K281" s="216"/>
      <c r="L281" s="216"/>
      <c r="M281" s="216"/>
      <c r="N281" s="62"/>
      <c r="O281" s="8"/>
      <c r="P281" s="8"/>
      <c r="Q281" s="8"/>
      <c r="R281" s="8"/>
    </row>
    <row r="282" spans="1:18" x14ac:dyDescent="0.2">
      <c r="J282" s="643"/>
      <c r="K282" s="643"/>
      <c r="L282" s="643"/>
      <c r="M282" s="643"/>
      <c r="N282" s="10"/>
      <c r="O282" s="10"/>
      <c r="P282" s="10"/>
      <c r="Q282" s="10"/>
      <c r="R282" s="10"/>
    </row>
    <row r="283" spans="1:18" x14ac:dyDescent="0.2">
      <c r="J283" s="15"/>
      <c r="K283" s="15"/>
      <c r="L283" s="15"/>
      <c r="M283" s="15"/>
    </row>
    <row r="284" spans="1:18" x14ac:dyDescent="0.2">
      <c r="J284" s="15"/>
    </row>
    <row r="285" spans="1:18" x14ac:dyDescent="0.2">
      <c r="J285" s="46"/>
      <c r="K285" s="46"/>
      <c r="L285" s="46"/>
      <c r="M285" s="46"/>
    </row>
  </sheetData>
  <mergeCells count="263">
    <mergeCell ref="A10:R10"/>
    <mergeCell ref="E176:E179"/>
    <mergeCell ref="F43:F47"/>
    <mergeCell ref="H43:H45"/>
    <mergeCell ref="A11:R11"/>
    <mergeCell ref="F18:F23"/>
    <mergeCell ref="A18:A23"/>
    <mergeCell ref="E18:E23"/>
    <mergeCell ref="D18:D23"/>
    <mergeCell ref="B18:B23"/>
    <mergeCell ref="R117:R118"/>
    <mergeCell ref="F119:F120"/>
    <mergeCell ref="N155:N157"/>
    <mergeCell ref="F158:F163"/>
    <mergeCell ref="G144:G146"/>
    <mergeCell ref="H144:H146"/>
    <mergeCell ref="F168:F171"/>
    <mergeCell ref="D154:D157"/>
    <mergeCell ref="N174:N175"/>
    <mergeCell ref="G18:G23"/>
    <mergeCell ref="E43:E45"/>
    <mergeCell ref="H48:H49"/>
    <mergeCell ref="D43:D45"/>
    <mergeCell ref="B62:B63"/>
    <mergeCell ref="H194:H197"/>
    <mergeCell ref="N184:N185"/>
    <mergeCell ref="C117:C118"/>
    <mergeCell ref="E64:E65"/>
    <mergeCell ref="D110:D113"/>
    <mergeCell ref="P117:P118"/>
    <mergeCell ref="E180:E182"/>
    <mergeCell ref="E172:E175"/>
    <mergeCell ref="E154:E157"/>
    <mergeCell ref="F172:F175"/>
    <mergeCell ref="F164:F167"/>
    <mergeCell ref="D117:D118"/>
    <mergeCell ref="D64:D65"/>
    <mergeCell ref="C192:I192"/>
    <mergeCell ref="G186:G188"/>
    <mergeCell ref="H186:H188"/>
    <mergeCell ref="E186:E188"/>
    <mergeCell ref="F186:F188"/>
    <mergeCell ref="E184:E185"/>
    <mergeCell ref="F141:F143"/>
    <mergeCell ref="C64:C65"/>
    <mergeCell ref="N178:N179"/>
    <mergeCell ref="C62:C63"/>
    <mergeCell ref="E198:E202"/>
    <mergeCell ref="C209:I209"/>
    <mergeCell ref="C210:P210"/>
    <mergeCell ref="G189:G190"/>
    <mergeCell ref="H189:H190"/>
    <mergeCell ref="D189:D190"/>
    <mergeCell ref="F189:F190"/>
    <mergeCell ref="E189:E190"/>
    <mergeCell ref="F180:F182"/>
    <mergeCell ref="N180:N182"/>
    <mergeCell ref="H184:H185"/>
    <mergeCell ref="F154:F157"/>
    <mergeCell ref="H147:H148"/>
    <mergeCell ref="N169:N171"/>
    <mergeCell ref="N147:N148"/>
    <mergeCell ref="H64:H65"/>
    <mergeCell ref="E125:E126"/>
    <mergeCell ref="H61:H63"/>
    <mergeCell ref="G62:G63"/>
    <mergeCell ref="E195:E197"/>
    <mergeCell ref="F62:F63"/>
    <mergeCell ref="N88:N89"/>
    <mergeCell ref="C193:R193"/>
    <mergeCell ref="F219:F220"/>
    <mergeCell ref="E212:E214"/>
    <mergeCell ref="D219:D220"/>
    <mergeCell ref="H219:H220"/>
    <mergeCell ref="E216:E217"/>
    <mergeCell ref="E219:E220"/>
    <mergeCell ref="N216:N217"/>
    <mergeCell ref="N198:N199"/>
    <mergeCell ref="H212:H215"/>
    <mergeCell ref="H221:H223"/>
    <mergeCell ref="H224:H227"/>
    <mergeCell ref="N256:R256"/>
    <mergeCell ref="N255:R255"/>
    <mergeCell ref="D244:D246"/>
    <mergeCell ref="A244:A246"/>
    <mergeCell ref="A259:I259"/>
    <mergeCell ref="A263:I263"/>
    <mergeCell ref="A260:I260"/>
    <mergeCell ref="B255:I255"/>
    <mergeCell ref="E251:E253"/>
    <mergeCell ref="H251:H253"/>
    <mergeCell ref="B256:I256"/>
    <mergeCell ref="C244:C246"/>
    <mergeCell ref="B244:B246"/>
    <mergeCell ref="E248:E250"/>
    <mergeCell ref="H248:H250"/>
    <mergeCell ref="H244:H246"/>
    <mergeCell ref="E244:E246"/>
    <mergeCell ref="F244:F246"/>
    <mergeCell ref="H50:H51"/>
    <mergeCell ref="G48:G49"/>
    <mergeCell ref="E48:E49"/>
    <mergeCell ref="F48:F49"/>
    <mergeCell ref="D54:D55"/>
    <mergeCell ref="E54:E55"/>
    <mergeCell ref="F54:F55"/>
    <mergeCell ref="G54:G55"/>
    <mergeCell ref="D56:D57"/>
    <mergeCell ref="E56:E57"/>
    <mergeCell ref="H56:H57"/>
    <mergeCell ref="D46:D47"/>
    <mergeCell ref="H54:H55"/>
    <mergeCell ref="B12:R12"/>
    <mergeCell ref="C13:R13"/>
    <mergeCell ref="H15:H17"/>
    <mergeCell ref="H18:H23"/>
    <mergeCell ref="E15:E17"/>
    <mergeCell ref="C18:C23"/>
    <mergeCell ref="N22:N23"/>
    <mergeCell ref="E46:E47"/>
    <mergeCell ref="G46:G47"/>
    <mergeCell ref="H46:H47"/>
    <mergeCell ref="E24:E27"/>
    <mergeCell ref="D24:D42"/>
    <mergeCell ref="F24:F42"/>
    <mergeCell ref="D52:D53"/>
    <mergeCell ref="E52:E53"/>
    <mergeCell ref="F52:F53"/>
    <mergeCell ref="G52:G53"/>
    <mergeCell ref="H52:H53"/>
    <mergeCell ref="D48:D49"/>
    <mergeCell ref="D50:D51"/>
    <mergeCell ref="E50:E51"/>
    <mergeCell ref="F50:F51"/>
    <mergeCell ref="N1:R1"/>
    <mergeCell ref="A3:R3"/>
    <mergeCell ref="A7:A9"/>
    <mergeCell ref="B7:B9"/>
    <mergeCell ref="C7:C9"/>
    <mergeCell ref="D7:D9"/>
    <mergeCell ref="E7:E9"/>
    <mergeCell ref="F7:F9"/>
    <mergeCell ref="G7:G9"/>
    <mergeCell ref="H7:H9"/>
    <mergeCell ref="I7:I9"/>
    <mergeCell ref="J7:J9"/>
    <mergeCell ref="M7:M9"/>
    <mergeCell ref="N7:R7"/>
    <mergeCell ref="A4:R4"/>
    <mergeCell ref="A5:R5"/>
    <mergeCell ref="N6:R6"/>
    <mergeCell ref="N8:N9"/>
    <mergeCell ref="O8:R8"/>
    <mergeCell ref="K7:K9"/>
    <mergeCell ref="L7:L9"/>
    <mergeCell ref="A279:I279"/>
    <mergeCell ref="A276:I276"/>
    <mergeCell ref="A273:I273"/>
    <mergeCell ref="C243:I243"/>
    <mergeCell ref="A219:A220"/>
    <mergeCell ref="B219:B220"/>
    <mergeCell ref="A274:I274"/>
    <mergeCell ref="A271:I271"/>
    <mergeCell ref="A272:I272"/>
    <mergeCell ref="A268:I268"/>
    <mergeCell ref="A264:I264"/>
    <mergeCell ref="A266:I266"/>
    <mergeCell ref="A261:I261"/>
    <mergeCell ref="A270:I270"/>
    <mergeCell ref="A267:I267"/>
    <mergeCell ref="H232:H233"/>
    <mergeCell ref="C219:C220"/>
    <mergeCell ref="A277:I277"/>
    <mergeCell ref="A262:I262"/>
    <mergeCell ref="A269:I269"/>
    <mergeCell ref="E224:E229"/>
    <mergeCell ref="A265:I265"/>
    <mergeCell ref="A221:A223"/>
    <mergeCell ref="B221:B223"/>
    <mergeCell ref="A278:I278"/>
    <mergeCell ref="E114:E115"/>
    <mergeCell ref="F117:F118"/>
    <mergeCell ref="E147:E148"/>
    <mergeCell ref="E164:E167"/>
    <mergeCell ref="G154:G157"/>
    <mergeCell ref="G171:G174"/>
    <mergeCell ref="E168:E171"/>
    <mergeCell ref="D158:D163"/>
    <mergeCell ref="G158:G163"/>
    <mergeCell ref="C141:C143"/>
    <mergeCell ref="E158:E163"/>
    <mergeCell ref="A275:I275"/>
    <mergeCell ref="C254:I254"/>
    <mergeCell ref="C242:I242"/>
    <mergeCell ref="B119:B120"/>
    <mergeCell ref="C119:C120"/>
    <mergeCell ref="A141:A143"/>
    <mergeCell ref="D141:D143"/>
    <mergeCell ref="B117:B118"/>
    <mergeCell ref="C221:C223"/>
    <mergeCell ref="D221:D223"/>
    <mergeCell ref="E221:E223"/>
    <mergeCell ref="F221:F223"/>
    <mergeCell ref="A62:A63"/>
    <mergeCell ref="D62:D63"/>
    <mergeCell ref="E62:E63"/>
    <mergeCell ref="E98:E100"/>
    <mergeCell ref="E74:E75"/>
    <mergeCell ref="E110:E113"/>
    <mergeCell ref="E68:E69"/>
    <mergeCell ref="A144:A146"/>
    <mergeCell ref="B144:B146"/>
    <mergeCell ref="C144:C146"/>
    <mergeCell ref="D144:D146"/>
    <mergeCell ref="E144:E146"/>
    <mergeCell ref="A119:A120"/>
    <mergeCell ref="B141:B143"/>
    <mergeCell ref="E141:E143"/>
    <mergeCell ref="D119:D120"/>
    <mergeCell ref="E119:E120"/>
    <mergeCell ref="D133:D136"/>
    <mergeCell ref="D127:D132"/>
    <mergeCell ref="E121:E124"/>
    <mergeCell ref="A117:A118"/>
    <mergeCell ref="B64:B65"/>
    <mergeCell ref="B110:B113"/>
    <mergeCell ref="C110:C113"/>
    <mergeCell ref="A110:A113"/>
    <mergeCell ref="E93:E96"/>
    <mergeCell ref="A64:A65"/>
    <mergeCell ref="G117:G118"/>
    <mergeCell ref="F144:F146"/>
    <mergeCell ref="F110:F113"/>
    <mergeCell ref="N96:N97"/>
    <mergeCell ref="H78:H79"/>
    <mergeCell ref="N91:N92"/>
    <mergeCell ref="H93:H97"/>
    <mergeCell ref="G119:G120"/>
    <mergeCell ref="H141:H143"/>
    <mergeCell ref="G141:G143"/>
    <mergeCell ref="N144:N145"/>
    <mergeCell ref="H121:H124"/>
    <mergeCell ref="H76:H77"/>
    <mergeCell ref="Q117:Q118"/>
    <mergeCell ref="N58:N59"/>
    <mergeCell ref="F56:F57"/>
    <mergeCell ref="F58:F59"/>
    <mergeCell ref="E58:E59"/>
    <mergeCell ref="E88:E89"/>
    <mergeCell ref="H88:H89"/>
    <mergeCell ref="N165:N167"/>
    <mergeCell ref="E91:E92"/>
    <mergeCell ref="E117:E118"/>
    <mergeCell ref="E101:E108"/>
    <mergeCell ref="H91:H92"/>
    <mergeCell ref="F93:F97"/>
    <mergeCell ref="N117:N118"/>
    <mergeCell ref="G110:G113"/>
    <mergeCell ref="E149:E153"/>
    <mergeCell ref="F149:F153"/>
    <mergeCell ref="G149:G153"/>
    <mergeCell ref="H149:H153"/>
    <mergeCell ref="N150:N152"/>
  </mergeCells>
  <printOptions horizontalCentered="1"/>
  <pageMargins left="0.59055118110236227" right="0.19685039370078741" top="0.31496062992125984" bottom="0.19685039370078741" header="0" footer="0"/>
  <pageSetup paperSize="9" scale="66"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2019-10-04T10:48:01Z</cp:lastPrinted>
  <dcterms:created xsi:type="dcterms:W3CDTF">2007-07-27T10:32:34Z</dcterms:created>
  <dcterms:modified xsi:type="dcterms:W3CDTF">2019-10-08T10:24:27Z</dcterms:modified>
</cp:coreProperties>
</file>