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firstSheet="1" activeTab="1"/>
  </bookViews>
  <sheets>
    <sheet name="Lyginamasis variantas" sheetId="19" state="hidden" r:id="rId1"/>
    <sheet name="3 programa" sheetId="20" r:id="rId2"/>
    <sheet name="aiškinamoji lentelė" sheetId="17" r:id="rId3"/>
  </sheets>
  <definedNames>
    <definedName name="_xlnm.Print_Area" localSheetId="1">'3 programa'!$A$1:$M$192</definedName>
    <definedName name="_xlnm.Print_Area" localSheetId="2">'aiškinamoji lentelė'!$A$1:$Q$213</definedName>
    <definedName name="_xlnm.Print_Area" localSheetId="0">'Lyginamasis variantas'!$A$1:$U$172</definedName>
    <definedName name="_xlnm.Print_Titles" localSheetId="1">'3 programa'!$10:$12</definedName>
    <definedName name="_xlnm.Print_Titles" localSheetId="2">'aiškinamoji lentelė'!$6:$8</definedName>
    <definedName name="_xlnm.Print_Titles" localSheetId="0">'Lyginamasis variantas'!$8:$10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24" i="17" l="1"/>
  <c r="J132" i="17" s="1"/>
  <c r="I62" i="20" l="1"/>
  <c r="H62" i="20"/>
  <c r="L76" i="17"/>
  <c r="K76" i="17"/>
  <c r="I20" i="20" l="1"/>
  <c r="H20" i="20"/>
  <c r="G20" i="20"/>
  <c r="G62" i="20" l="1"/>
  <c r="J36" i="17"/>
  <c r="H160" i="20" l="1"/>
  <c r="I160" i="20"/>
  <c r="G160" i="20"/>
  <c r="I187" i="20"/>
  <c r="H187" i="20"/>
  <c r="G187" i="20"/>
  <c r="I186" i="20"/>
  <c r="H186" i="20"/>
  <c r="G186" i="20"/>
  <c r="I184" i="20"/>
  <c r="H184" i="20"/>
  <c r="G184" i="20"/>
  <c r="I183" i="20"/>
  <c r="H183" i="20"/>
  <c r="G183" i="20"/>
  <c r="I182" i="20"/>
  <c r="H182" i="20"/>
  <c r="G182" i="20"/>
  <c r="I181" i="20"/>
  <c r="H181" i="20"/>
  <c r="G181" i="20"/>
  <c r="I180" i="20"/>
  <c r="H180" i="20"/>
  <c r="G180" i="20"/>
  <c r="I179" i="20"/>
  <c r="H179" i="20"/>
  <c r="G179" i="20"/>
  <c r="G145" i="20"/>
  <c r="G146" i="20" s="1"/>
  <c r="I145" i="20"/>
  <c r="I146" i="20" s="1"/>
  <c r="H145" i="20"/>
  <c r="H146" i="20" s="1"/>
  <c r="G131" i="20"/>
  <c r="H53" i="20" l="1"/>
  <c r="I53" i="20"/>
  <c r="H73" i="20"/>
  <c r="I73" i="20"/>
  <c r="G73" i="20"/>
  <c r="G113" i="20"/>
  <c r="H110" i="20"/>
  <c r="I110" i="20"/>
  <c r="G110" i="20"/>
  <c r="G78" i="20" l="1"/>
  <c r="G76" i="20"/>
  <c r="H76" i="20"/>
  <c r="I76" i="20"/>
  <c r="I56" i="20" l="1"/>
  <c r="H56" i="20"/>
  <c r="G56" i="20"/>
  <c r="G59" i="20" s="1"/>
  <c r="G53" i="20"/>
  <c r="G174" i="20" s="1"/>
  <c r="H49" i="20"/>
  <c r="I49" i="20"/>
  <c r="G49" i="20"/>
  <c r="I178" i="20" l="1"/>
  <c r="H178" i="20"/>
  <c r="G178" i="20"/>
  <c r="I177" i="20"/>
  <c r="H177" i="20"/>
  <c r="G177" i="20"/>
  <c r="I176" i="20"/>
  <c r="H176" i="20"/>
  <c r="G176" i="20"/>
  <c r="I175" i="20"/>
  <c r="H175" i="20"/>
  <c r="G175" i="20"/>
  <c r="G173" i="20" s="1"/>
  <c r="G172" i="20" s="1"/>
  <c r="I163" i="20"/>
  <c r="I164" i="20" s="1"/>
  <c r="H163" i="20"/>
  <c r="H164" i="20" s="1"/>
  <c r="G163" i="20"/>
  <c r="G164" i="20" s="1"/>
  <c r="H174" i="20"/>
  <c r="I116" i="20"/>
  <c r="H116" i="20"/>
  <c r="G116" i="20"/>
  <c r="I113" i="20"/>
  <c r="H113" i="20"/>
  <c r="I78" i="20"/>
  <c r="H78" i="20"/>
  <c r="I61" i="20"/>
  <c r="H61" i="20"/>
  <c r="G61" i="20"/>
  <c r="I59" i="20"/>
  <c r="H59" i="20"/>
  <c r="I55" i="20"/>
  <c r="H55" i="20"/>
  <c r="G55" i="20"/>
  <c r="I52" i="20"/>
  <c r="H52" i="20"/>
  <c r="G52" i="20"/>
  <c r="H117" i="20" l="1"/>
  <c r="G117" i="20"/>
  <c r="I117" i="20"/>
  <c r="I185" i="20"/>
  <c r="G185" i="20"/>
  <c r="H185" i="20"/>
  <c r="I174" i="20"/>
  <c r="I173" i="20" s="1"/>
  <c r="I172" i="20" s="1"/>
  <c r="G132" i="20"/>
  <c r="H173" i="20"/>
  <c r="H172" i="20" s="1"/>
  <c r="H131" i="20"/>
  <c r="H132" i="20" s="1"/>
  <c r="I131" i="20"/>
  <c r="I132" i="20" s="1"/>
  <c r="J20" i="17"/>
  <c r="I188" i="20" l="1"/>
  <c r="G188" i="20"/>
  <c r="H188" i="20"/>
  <c r="G165" i="20"/>
  <c r="G166" i="20" s="1"/>
  <c r="H165" i="20"/>
  <c r="H166" i="20" s="1"/>
  <c r="I165" i="20"/>
  <c r="I166" i="20" s="1"/>
  <c r="J141" i="17"/>
  <c r="J47" i="17" l="1"/>
  <c r="K132" i="17" l="1"/>
  <c r="J82" i="17" l="1"/>
  <c r="K185" i="17" l="1"/>
  <c r="L185" i="17"/>
  <c r="J185" i="17"/>
  <c r="L150" i="17" l="1"/>
  <c r="K150" i="17"/>
  <c r="K153" i="17" s="1"/>
  <c r="K154" i="17" s="1"/>
  <c r="J150" i="17"/>
  <c r="L151" i="17"/>
  <c r="L199" i="17" l="1"/>
  <c r="J153" i="17"/>
  <c r="J154" i="17" s="1"/>
  <c r="L153" i="17"/>
  <c r="L154" i="17" s="1"/>
  <c r="L132" i="17" l="1"/>
  <c r="J45" i="17" l="1"/>
  <c r="J78" i="17" l="1"/>
  <c r="I119" i="17" l="1"/>
  <c r="J58" i="17" l="1"/>
  <c r="J86" i="17" l="1"/>
  <c r="K86" i="17"/>
  <c r="L86" i="17"/>
  <c r="K58" i="17"/>
  <c r="L58" i="17"/>
  <c r="J167" i="17"/>
  <c r="K167" i="17"/>
  <c r="L167" i="17"/>
  <c r="I167" i="17"/>
  <c r="I84" i="17"/>
  <c r="I184" i="17" l="1"/>
  <c r="I185" i="17" s="1"/>
  <c r="J207" i="17" l="1"/>
  <c r="I132" i="17"/>
  <c r="I35" i="17" l="1"/>
  <c r="I19" i="17" l="1"/>
  <c r="I87" i="17" l="1"/>
  <c r="I74" i="17"/>
  <c r="I43" i="17"/>
  <c r="I55" i="17"/>
  <c r="J137" i="19" l="1"/>
  <c r="J47" i="19"/>
  <c r="I61" i="19"/>
  <c r="J61" i="19" s="1"/>
  <c r="J28" i="19"/>
  <c r="J31" i="19"/>
  <c r="K201" i="17" l="1"/>
  <c r="K212" i="17"/>
  <c r="K211" i="17"/>
  <c r="K209" i="17"/>
  <c r="K208" i="17"/>
  <c r="K207" i="17"/>
  <c r="K206" i="17"/>
  <c r="K205" i="17"/>
  <c r="K204" i="17"/>
  <c r="K203" i="17"/>
  <c r="K202" i="17"/>
  <c r="K200" i="17"/>
  <c r="H46" i="19"/>
  <c r="H45" i="19"/>
  <c r="I39" i="19"/>
  <c r="H15" i="19"/>
  <c r="H20" i="19"/>
  <c r="H18" i="19"/>
  <c r="K188" i="17"/>
  <c r="K168" i="17"/>
  <c r="K138" i="17"/>
  <c r="K135" i="17"/>
  <c r="K92" i="17"/>
  <c r="K90" i="17"/>
  <c r="K72" i="17"/>
  <c r="K70" i="17"/>
  <c r="K65" i="17"/>
  <c r="K61" i="17"/>
  <c r="K189" i="17" l="1"/>
  <c r="K199" i="17"/>
  <c r="K198" i="17" s="1"/>
  <c r="K197" i="17" s="1"/>
  <c r="K139" i="17"/>
  <c r="K210" i="17"/>
  <c r="I66" i="17"/>
  <c r="I70" i="17" s="1"/>
  <c r="L39" i="19"/>
  <c r="I20" i="19"/>
  <c r="K190" i="17" l="1"/>
  <c r="K191" i="17" s="1"/>
  <c r="K213" i="17"/>
  <c r="O39" i="19"/>
  <c r="L41" i="19"/>
  <c r="I41" i="19"/>
  <c r="I44" i="17" l="1"/>
  <c r="I14" i="17" l="1"/>
  <c r="I15" i="19"/>
  <c r="P41" i="19" l="1"/>
  <c r="M41" i="19"/>
  <c r="J41" i="19"/>
  <c r="O41" i="19"/>
  <c r="N41" i="19"/>
  <c r="H41" i="19"/>
  <c r="K41" i="19"/>
  <c r="I77" i="17" l="1"/>
  <c r="I82" i="17" l="1"/>
  <c r="I45" i="19"/>
  <c r="I60" i="19" s="1"/>
  <c r="I46" i="19"/>
  <c r="I18" i="19" l="1"/>
  <c r="I32" i="19" s="1"/>
  <c r="I64" i="19" l="1"/>
  <c r="H64" i="19"/>
  <c r="I90" i="17" l="1"/>
  <c r="J64" i="19" l="1"/>
  <c r="M157" i="19" l="1"/>
  <c r="J157" i="19"/>
  <c r="P158" i="19"/>
  <c r="P156" i="19"/>
  <c r="O169" i="19"/>
  <c r="O168" i="19"/>
  <c r="O166" i="19"/>
  <c r="O165" i="19"/>
  <c r="O164" i="19"/>
  <c r="O163" i="19"/>
  <c r="O162" i="19"/>
  <c r="O161" i="19"/>
  <c r="O160" i="19"/>
  <c r="O159" i="19"/>
  <c r="O158" i="19"/>
  <c r="O157" i="19"/>
  <c r="N169" i="19"/>
  <c r="N168" i="19"/>
  <c r="N166" i="19"/>
  <c r="N165" i="19"/>
  <c r="N164" i="19"/>
  <c r="N163" i="19"/>
  <c r="N162" i="19"/>
  <c r="N161" i="19"/>
  <c r="N160" i="19"/>
  <c r="N159" i="19"/>
  <c r="N158" i="19"/>
  <c r="N157" i="19"/>
  <c r="M156" i="19"/>
  <c r="K158" i="19"/>
  <c r="L169" i="19"/>
  <c r="L168" i="19"/>
  <c r="L166" i="19"/>
  <c r="L165" i="19"/>
  <c r="L164" i="19"/>
  <c r="L163" i="19"/>
  <c r="L162" i="19"/>
  <c r="L161" i="19"/>
  <c r="L160" i="19"/>
  <c r="L159" i="19"/>
  <c r="L158" i="19"/>
  <c r="L157" i="19"/>
  <c r="K169" i="19"/>
  <c r="K168" i="19"/>
  <c r="K166" i="19"/>
  <c r="K165" i="19"/>
  <c r="K164" i="19"/>
  <c r="K163" i="19"/>
  <c r="K162" i="19"/>
  <c r="K161" i="19"/>
  <c r="K160" i="19"/>
  <c r="K159" i="19"/>
  <c r="K157" i="19"/>
  <c r="J169" i="19"/>
  <c r="J168" i="19"/>
  <c r="J166" i="19"/>
  <c r="J165" i="19"/>
  <c r="J164" i="19"/>
  <c r="J163" i="19"/>
  <c r="J162" i="19"/>
  <c r="J161" i="19"/>
  <c r="J160" i="19"/>
  <c r="J159" i="19"/>
  <c r="J158" i="19"/>
  <c r="J156" i="19"/>
  <c r="J155" i="19" l="1"/>
  <c r="J154" i="19" s="1"/>
  <c r="I169" i="19"/>
  <c r="H169" i="19"/>
  <c r="H168" i="19"/>
  <c r="H166" i="19"/>
  <c r="H165" i="19"/>
  <c r="H164" i="19"/>
  <c r="H162" i="19"/>
  <c r="H161" i="19"/>
  <c r="H160" i="19"/>
  <c r="H157" i="19"/>
  <c r="O167" i="19" l="1"/>
  <c r="O146" i="19"/>
  <c r="O143" i="19"/>
  <c r="O126" i="19"/>
  <c r="O127" i="19" s="1"/>
  <c r="O106" i="19"/>
  <c r="O113" i="19" s="1"/>
  <c r="O114" i="19" s="1"/>
  <c r="O103" i="19"/>
  <c r="O100" i="19"/>
  <c r="O97" i="19"/>
  <c r="O66" i="19"/>
  <c r="O64" i="19"/>
  <c r="O60" i="19"/>
  <c r="O43" i="19"/>
  <c r="O36" i="19"/>
  <c r="O35" i="19"/>
  <c r="O32" i="19"/>
  <c r="N167" i="19"/>
  <c r="N146" i="19"/>
  <c r="N143" i="19"/>
  <c r="N126" i="19"/>
  <c r="N127" i="19" s="1"/>
  <c r="N106" i="19"/>
  <c r="N113" i="19" s="1"/>
  <c r="N114" i="19" s="1"/>
  <c r="N103" i="19"/>
  <c r="N100" i="19"/>
  <c r="N97" i="19"/>
  <c r="N66" i="19"/>
  <c r="N64" i="19"/>
  <c r="N60" i="19"/>
  <c r="N43" i="19"/>
  <c r="N36" i="19"/>
  <c r="N35" i="19"/>
  <c r="N32" i="19"/>
  <c r="L167" i="19"/>
  <c r="L146" i="19"/>
  <c r="L143" i="19"/>
  <c r="L126" i="19"/>
  <c r="L127" i="19" s="1"/>
  <c r="L106" i="19"/>
  <c r="L113" i="19" s="1"/>
  <c r="L114" i="19" s="1"/>
  <c r="L103" i="19"/>
  <c r="L100" i="19"/>
  <c r="L97" i="19"/>
  <c r="L66" i="19"/>
  <c r="L64" i="19"/>
  <c r="L60" i="19"/>
  <c r="L43" i="19"/>
  <c r="L36" i="19"/>
  <c r="L35" i="19"/>
  <c r="L32" i="19"/>
  <c r="K167" i="19"/>
  <c r="K146" i="19"/>
  <c r="K143" i="19"/>
  <c r="K126" i="19"/>
  <c r="K127" i="19" s="1"/>
  <c r="K106" i="19"/>
  <c r="K113" i="19" s="1"/>
  <c r="K114" i="19" s="1"/>
  <c r="K103" i="19"/>
  <c r="K100" i="19"/>
  <c r="K97" i="19"/>
  <c r="K66" i="19"/>
  <c r="K64" i="19"/>
  <c r="K60" i="19"/>
  <c r="K43" i="19"/>
  <c r="K36" i="19"/>
  <c r="K156" i="19" s="1"/>
  <c r="K35" i="19"/>
  <c r="K32" i="19"/>
  <c r="J146" i="19"/>
  <c r="J143" i="19"/>
  <c r="J126" i="19"/>
  <c r="J127" i="19" s="1"/>
  <c r="J113" i="19"/>
  <c r="J114" i="19" s="1"/>
  <c r="J103" i="19"/>
  <c r="J100" i="19"/>
  <c r="J97" i="19"/>
  <c r="J66" i="19"/>
  <c r="J60" i="19"/>
  <c r="J43" i="19"/>
  <c r="J38" i="19"/>
  <c r="J35" i="19"/>
  <c r="J32" i="19"/>
  <c r="H159" i="19"/>
  <c r="H146" i="19"/>
  <c r="H130" i="19"/>
  <c r="H143" i="19" s="1"/>
  <c r="H147" i="19" s="1"/>
  <c r="H126" i="19"/>
  <c r="H127" i="19" s="1"/>
  <c r="H106" i="19"/>
  <c r="H113" i="19" s="1"/>
  <c r="H114" i="19" s="1"/>
  <c r="H103" i="19"/>
  <c r="H98" i="19"/>
  <c r="H100" i="19" s="1"/>
  <c r="H97" i="19"/>
  <c r="H66" i="19"/>
  <c r="H60" i="19"/>
  <c r="H43" i="19"/>
  <c r="H36" i="19"/>
  <c r="H38" i="19" s="1"/>
  <c r="H33" i="19"/>
  <c r="H158" i="19"/>
  <c r="P169" i="19"/>
  <c r="M169" i="19"/>
  <c r="P168" i="19"/>
  <c r="M168" i="19"/>
  <c r="I168" i="19"/>
  <c r="P166" i="19"/>
  <c r="M166" i="19"/>
  <c r="I166" i="19"/>
  <c r="P165" i="19"/>
  <c r="M165" i="19"/>
  <c r="I165" i="19"/>
  <c r="P164" i="19"/>
  <c r="M164" i="19"/>
  <c r="I164" i="19"/>
  <c r="P163" i="19"/>
  <c r="M163" i="19"/>
  <c r="P162" i="19"/>
  <c r="M162" i="19"/>
  <c r="I162" i="19"/>
  <c r="P161" i="19"/>
  <c r="M161" i="19"/>
  <c r="I161" i="19"/>
  <c r="P160" i="19"/>
  <c r="M160" i="19"/>
  <c r="I160" i="19"/>
  <c r="P159" i="19"/>
  <c r="M159" i="19"/>
  <c r="I159" i="19"/>
  <c r="M158" i="19"/>
  <c r="P157" i="19"/>
  <c r="I157" i="19"/>
  <c r="P146" i="19"/>
  <c r="M146" i="19"/>
  <c r="I146" i="19"/>
  <c r="P143" i="19"/>
  <c r="M143" i="19"/>
  <c r="I130" i="19"/>
  <c r="I143" i="19" s="1"/>
  <c r="P126" i="19"/>
  <c r="P127" i="19" s="1"/>
  <c r="M126" i="19"/>
  <c r="M127" i="19" s="1"/>
  <c r="I126" i="19"/>
  <c r="I127" i="19" s="1"/>
  <c r="P113" i="19"/>
  <c r="P114" i="19" s="1"/>
  <c r="M113" i="19"/>
  <c r="M114" i="19" s="1"/>
  <c r="I106" i="19"/>
  <c r="I113" i="19" s="1"/>
  <c r="I114" i="19" s="1"/>
  <c r="P103" i="19"/>
  <c r="M103" i="19"/>
  <c r="I103" i="19"/>
  <c r="P100" i="19"/>
  <c r="M100" i="19"/>
  <c r="I98" i="19"/>
  <c r="I100" i="19" s="1"/>
  <c r="P97" i="19"/>
  <c r="M97" i="19"/>
  <c r="I97" i="19"/>
  <c r="P66" i="19"/>
  <c r="M66" i="19"/>
  <c r="I66" i="19"/>
  <c r="P64" i="19"/>
  <c r="M64" i="19"/>
  <c r="P60" i="19"/>
  <c r="M60" i="19"/>
  <c r="P43" i="19"/>
  <c r="M43" i="19"/>
  <c r="I43" i="19"/>
  <c r="P38" i="19"/>
  <c r="I36" i="19"/>
  <c r="I38" i="19" s="1"/>
  <c r="P35" i="19"/>
  <c r="M35" i="19"/>
  <c r="I33" i="19"/>
  <c r="I35" i="19" s="1"/>
  <c r="P32" i="19"/>
  <c r="M32" i="19"/>
  <c r="H163" i="19" l="1"/>
  <c r="I163" i="19"/>
  <c r="M147" i="19"/>
  <c r="K38" i="19"/>
  <c r="N147" i="19"/>
  <c r="O147" i="19"/>
  <c r="H35" i="19"/>
  <c r="H156" i="19"/>
  <c r="H155" i="19" s="1"/>
  <c r="H154" i="19" s="1"/>
  <c r="K147" i="19"/>
  <c r="L38" i="19"/>
  <c r="L104" i="19" s="1"/>
  <c r="L156" i="19"/>
  <c r="L155" i="19" s="1"/>
  <c r="L154" i="19" s="1"/>
  <c r="L170" i="19" s="1"/>
  <c r="L147" i="19"/>
  <c r="N38" i="19"/>
  <c r="N104" i="19" s="1"/>
  <c r="N148" i="19" s="1"/>
  <c r="N149" i="19" s="1"/>
  <c r="N156" i="19"/>
  <c r="N155" i="19" s="1"/>
  <c r="N154" i="19" s="1"/>
  <c r="N170" i="19" s="1"/>
  <c r="O38" i="19"/>
  <c r="O156" i="19"/>
  <c r="O155" i="19" s="1"/>
  <c r="O154" i="19" s="1"/>
  <c r="O170" i="19" s="1"/>
  <c r="J147" i="19"/>
  <c r="P167" i="19"/>
  <c r="M167" i="19"/>
  <c r="O104" i="19"/>
  <c r="O148" i="19" s="1"/>
  <c r="O149" i="19" s="1"/>
  <c r="H32" i="19"/>
  <c r="H104" i="19" s="1"/>
  <c r="H148" i="19" s="1"/>
  <c r="H149" i="19" s="1"/>
  <c r="P147" i="19"/>
  <c r="J104" i="19"/>
  <c r="K104" i="19"/>
  <c r="K148" i="19" s="1"/>
  <c r="K149" i="19" s="1"/>
  <c r="M155" i="19"/>
  <c r="M154" i="19" s="1"/>
  <c r="I167" i="19"/>
  <c r="H167" i="19"/>
  <c r="K155" i="19"/>
  <c r="I147" i="19"/>
  <c r="M38" i="19"/>
  <c r="M104" i="19" s="1"/>
  <c r="I156" i="19"/>
  <c r="P104" i="19"/>
  <c r="P155" i="19"/>
  <c r="P154" i="19" s="1"/>
  <c r="I158" i="19"/>
  <c r="J148" i="19" l="1"/>
  <c r="J149" i="19" s="1"/>
  <c r="M148" i="19"/>
  <c r="M149" i="19" s="1"/>
  <c r="P148" i="19"/>
  <c r="P149" i="19" s="1"/>
  <c r="I104" i="19"/>
  <c r="I148" i="19" s="1"/>
  <c r="I149" i="19" s="1"/>
  <c r="M170" i="19"/>
  <c r="L148" i="19"/>
  <c r="L149" i="19" s="1"/>
  <c r="H170" i="19"/>
  <c r="P170" i="19"/>
  <c r="I155" i="19"/>
  <c r="I154" i="19" s="1"/>
  <c r="I170" i="19" s="1"/>
  <c r="K154" i="19"/>
  <c r="K170" i="19" s="1"/>
  <c r="J167" i="19" l="1"/>
  <c r="J170" i="19" l="1"/>
  <c r="I78" i="17" l="1"/>
  <c r="I86" i="17" s="1"/>
  <c r="I62" i="17" l="1"/>
  <c r="I59" i="17"/>
  <c r="L205" i="17" l="1"/>
  <c r="J205" i="17"/>
  <c r="I205" i="17"/>
  <c r="I135" i="17"/>
  <c r="I211" i="17"/>
  <c r="I209" i="17"/>
  <c r="I200" i="17"/>
  <c r="I201" i="17"/>
  <c r="I203" i="17"/>
  <c r="I208" i="17"/>
  <c r="I204" i="17"/>
  <c r="I51" i="17" l="1"/>
  <c r="I20" i="17" l="1"/>
  <c r="I141" i="17" l="1"/>
  <c r="I147" i="17"/>
  <c r="I153" i="17" l="1"/>
  <c r="I154" i="17" s="1"/>
  <c r="I206" i="17"/>
  <c r="I38" i="17"/>
  <c r="I36" i="17"/>
  <c r="I58" i="17" l="1"/>
  <c r="L212" i="17"/>
  <c r="J212" i="17"/>
  <c r="I212" i="17"/>
  <c r="L211" i="17"/>
  <c r="J211" i="17"/>
  <c r="L209" i="17"/>
  <c r="J209" i="17"/>
  <c r="L208" i="17"/>
  <c r="J208" i="17"/>
  <c r="L207" i="17"/>
  <c r="I207" i="17"/>
  <c r="L206" i="17"/>
  <c r="J206" i="17"/>
  <c r="L204" i="17"/>
  <c r="J204" i="17"/>
  <c r="L203" i="17"/>
  <c r="J203" i="17"/>
  <c r="L202" i="17"/>
  <c r="J202" i="17"/>
  <c r="I202" i="17"/>
  <c r="L201" i="17"/>
  <c r="J201" i="17"/>
  <c r="L200" i="17"/>
  <c r="J200" i="17"/>
  <c r="L188" i="17"/>
  <c r="J188" i="17"/>
  <c r="I188" i="17"/>
  <c r="L168" i="17"/>
  <c r="J168" i="17"/>
  <c r="I168" i="17"/>
  <c r="L138" i="17"/>
  <c r="J138" i="17"/>
  <c r="I138" i="17"/>
  <c r="L135" i="17"/>
  <c r="J135" i="17"/>
  <c r="L92" i="17"/>
  <c r="J92" i="17"/>
  <c r="I92" i="17"/>
  <c r="L90" i="17"/>
  <c r="J90" i="17"/>
  <c r="L72" i="17"/>
  <c r="J72" i="17"/>
  <c r="I72" i="17"/>
  <c r="L70" i="17"/>
  <c r="J70" i="17"/>
  <c r="L65" i="17"/>
  <c r="J65" i="17"/>
  <c r="I65" i="17"/>
  <c r="L61" i="17"/>
  <c r="J61" i="17"/>
  <c r="I61" i="17"/>
  <c r="J199" i="17"/>
  <c r="J198" i="17" l="1"/>
  <c r="J197" i="17" s="1"/>
  <c r="L198" i="17"/>
  <c r="L197" i="17" s="1"/>
  <c r="L189" i="17"/>
  <c r="I199" i="17"/>
  <c r="I189" i="17"/>
  <c r="J210" i="17"/>
  <c r="I210" i="17"/>
  <c r="J189" i="17"/>
  <c r="L210" i="17"/>
  <c r="L139" i="17"/>
  <c r="I139" i="17"/>
  <c r="J139" i="17"/>
  <c r="I198" i="17" l="1"/>
  <c r="I197" i="17" s="1"/>
  <c r="I213" i="17" s="1"/>
  <c r="J213" i="17"/>
  <c r="L190" i="17"/>
  <c r="L191" i="17" s="1"/>
  <c r="I190" i="17"/>
  <c r="I191" i="17" s="1"/>
  <c r="L213" i="17"/>
  <c r="J190" i="17"/>
  <c r="J191" i="17" s="1"/>
</calcChain>
</file>

<file path=xl/comments1.xml><?xml version="1.0" encoding="utf-8"?>
<comments xmlns="http://schemas.openxmlformats.org/spreadsheetml/2006/main">
  <authors>
    <author>Audra Cepiene</author>
    <author>Indre Buteniene</author>
  </authors>
  <commentList>
    <comment ref="Q47" authorId="0" shapeId="0">
      <text>
        <r>
          <rPr>
            <sz val="9"/>
            <color indexed="81"/>
            <rFont val="Tahoma"/>
            <family val="2"/>
            <charset val="186"/>
          </rPr>
          <t>Savivaldybių asociacija (0,03 proc. nuo biudžeto apimties), VVG, ŽVVG po 50 eur per metus</t>
        </r>
      </text>
    </comment>
    <comment ref="E119"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1"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4"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5" authorId="0" shapeId="0">
      <text>
        <r>
          <rPr>
            <b/>
            <sz val="9"/>
            <color indexed="81"/>
            <rFont val="Tahoma"/>
            <family val="2"/>
            <charset val="186"/>
          </rPr>
          <t xml:space="preserve">14439,1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Rima Ališauskaitė</author>
  </authors>
  <commentList>
    <comment ref="K23" authorId="0" shapeId="0">
      <text>
        <r>
          <rPr>
            <sz val="9"/>
            <color indexed="81"/>
            <rFont val="Tahoma"/>
            <family val="2"/>
            <charset val="186"/>
          </rPr>
          <t>2019-11-28 Nr.T2-334 nustatytas didžiausias leistinas valstybės tarnautojų ir darbuotojų skaičius – 432,5</t>
        </r>
      </text>
    </comment>
    <comment ref="J35" authorId="0" shapeId="0">
      <text>
        <r>
          <rPr>
            <b/>
            <sz val="9"/>
            <color indexed="81"/>
            <rFont val="Tahoma"/>
            <family val="2"/>
            <charset val="186"/>
          </rPr>
          <t xml:space="preserve">2020 m. mieste yra 15 sirenų;
</t>
        </r>
        <r>
          <rPr>
            <sz val="9"/>
            <color indexed="81"/>
            <rFont val="Tahoma"/>
            <family val="2"/>
            <charset val="186"/>
          </rPr>
          <t xml:space="preserve">Reikalinga pakeisti vieną variklinę sireną į naują akustinę sireną, kurios kaina;
Sirenų eksploatacinės išlaidos (15 vnt. + pulto techninė priežiūra)
</t>
        </r>
      </text>
    </comment>
    <comment ref="K36" authorId="0" shapeId="0">
      <text>
        <r>
          <rPr>
            <sz val="9"/>
            <color indexed="81"/>
            <rFont val="Tahoma"/>
            <family val="2"/>
            <charset val="186"/>
          </rPr>
          <t xml:space="preserve">(LR Seimo rinkimai)
</t>
        </r>
      </text>
    </comment>
    <comment ref="E37" authorId="0" shapeId="0">
      <text>
        <r>
          <rPr>
            <b/>
            <sz val="9"/>
            <color indexed="81"/>
            <rFont val="Tahoma"/>
            <family val="2"/>
            <charset val="186"/>
          </rPr>
          <t>P (KSP) .3.4.3.1</t>
        </r>
        <r>
          <rPr>
            <sz val="9"/>
            <color indexed="81"/>
            <rFont val="Tahoma"/>
            <family val="2"/>
            <charset val="186"/>
          </rPr>
          <t xml:space="preserve">
</t>
        </r>
      </text>
    </comment>
    <comment ref="K44" authorId="0" shapeId="0">
      <text>
        <r>
          <rPr>
            <sz val="9"/>
            <color indexed="81"/>
            <rFont val="Tahoma"/>
            <family val="2"/>
            <charset val="186"/>
          </rPr>
          <t>valdų 9, DNSB 11</t>
        </r>
      </text>
    </comment>
    <comment ref="K56" authorId="0" shapeId="0">
      <text>
        <r>
          <rPr>
            <b/>
            <sz val="9"/>
            <color indexed="81"/>
            <rFont val="Tahoma"/>
            <family val="2"/>
            <charset val="186"/>
          </rPr>
          <t xml:space="preserve">2019-11-28 Nr. T1-327 </t>
        </r>
        <r>
          <rPr>
            <sz val="9"/>
            <color indexed="81"/>
            <rFont val="Tahoma"/>
            <family val="2"/>
            <charset val="186"/>
          </rPr>
          <t>nustatytas Klaipėdos m. tarybos ir mero sekretoriato valstybės tarnautojų ir darbuotojų, dirbančių pagal darbo sutartis, skaičių –</t>
        </r>
        <r>
          <rPr>
            <b/>
            <sz val="9"/>
            <color indexed="81"/>
            <rFont val="Tahoma"/>
            <family val="2"/>
            <charset val="186"/>
          </rPr>
          <t xml:space="preserve"> 17</t>
        </r>
        <r>
          <rPr>
            <sz val="9"/>
            <color indexed="81"/>
            <rFont val="Tahoma"/>
            <family val="2"/>
            <charset val="186"/>
          </rPr>
          <t xml:space="preserve"> (iš jų 4 – politinio (asmeninio) pasitikėjimo valstybės tarnautojai).</t>
        </r>
      </text>
    </comment>
    <comment ref="D60" authorId="0" shapeId="0">
      <text>
        <r>
          <rPr>
            <sz val="9"/>
            <color indexed="81"/>
            <rFont val="Tahoma"/>
            <family val="2"/>
            <charset val="186"/>
          </rPr>
          <t xml:space="preserve">Pagal 2016-06-23 sprendimu Nr. T2-184 patvirtintą Klaipėdos miesto savivaldybės Tarybos veiklos reglamento 21 p., LR Vietos savivaldos įstatymo 19 str. 19 p. bei Statistikos departamento duomenimis (1278(VMDU)*1,5*12)=23 004 Eur; </t>
        </r>
      </text>
    </comment>
    <comment ref="J64" authorId="0" shapeId="0">
      <text>
        <r>
          <rPr>
            <sz val="9"/>
            <color indexed="81"/>
            <rFont val="Tahoma"/>
            <family val="2"/>
            <charset val="186"/>
          </rPr>
          <t>Savivaldybių asociacija (0,03 proc. nuo biudžeto apimties), VVG, ŽVVG po 50 eur per metus</t>
        </r>
      </text>
    </comment>
    <comment ref="E66" authorId="1" shapeId="0">
      <text>
        <r>
          <rPr>
            <b/>
            <sz val="9"/>
            <color indexed="81"/>
            <rFont val="Tahoma"/>
            <family val="2"/>
            <charset val="186"/>
          </rPr>
          <t>KEPS</t>
        </r>
        <r>
          <rPr>
            <sz val="9"/>
            <color indexed="81"/>
            <rFont val="Tahoma"/>
            <family val="2"/>
            <charset val="186"/>
          </rPr>
          <t xml:space="preserve"> </t>
        </r>
        <r>
          <rPr>
            <b/>
            <sz val="9"/>
            <color indexed="81"/>
            <rFont val="Tahoma"/>
            <family val="2"/>
            <charset val="186"/>
          </rPr>
          <t>3.4.2.</t>
        </r>
        <r>
          <rPr>
            <sz val="9"/>
            <color indexed="81"/>
            <rFont val="Tahoma"/>
            <family val="2"/>
            <charset val="186"/>
          </rPr>
          <t xml:space="preserve"> Plėsti Klaipėdos apskrities, vienijančios 7 savivaldybes, bendradarbiavimą sprendžiant viso regiono patrauklumo klausimus </t>
        </r>
        <r>
          <rPr>
            <sz val="9"/>
            <color indexed="81"/>
            <rFont val="Tahoma"/>
            <family val="2"/>
            <charset val="186"/>
          </rPr>
          <t xml:space="preserve">
</t>
        </r>
      </text>
    </comment>
    <comment ref="E67" authorId="2" shapeId="0">
      <text>
        <r>
          <rPr>
            <b/>
            <sz val="9"/>
            <color indexed="81"/>
            <rFont val="Tahoma"/>
            <family val="2"/>
            <charset val="186"/>
          </rPr>
          <t>KEPS 2030 1.1.4. uždavinys</t>
        </r>
        <r>
          <rPr>
            <sz val="9"/>
            <color indexed="81"/>
            <rFont val="Tahoma"/>
            <family val="2"/>
            <charset val="186"/>
          </rPr>
          <t xml:space="preserve">
Sudaryti sąlygas gauti investuotojams ir talentams aktualias viešąsias pas-laugas ir dokumentus anglų kalba: pa-rengti dvikalbius dokumentų šablonus, teikti paslaugas ir priimti dokumentus, užpildytus anglų kalba</t>
        </r>
      </text>
    </comment>
    <comment ref="E71" authorId="0" shapeId="0">
      <text>
        <r>
          <rPr>
            <sz val="9"/>
            <color indexed="81"/>
            <rFont val="Tahoma"/>
            <family val="2"/>
            <charset val="186"/>
          </rPr>
          <t>KEPS 2030 1.3.7. uždavinys Organizuoti nišinius tarptautinius mega-renginius, susijusius su prioritetinių sričių, verslumo skatinimo temomis</t>
        </r>
      </text>
    </comment>
    <comment ref="J71" authorId="0" shapeId="0">
      <text>
        <r>
          <rPr>
            <sz val="9"/>
            <color indexed="81"/>
            <rFont val="Tahoma"/>
            <family val="2"/>
            <charset val="186"/>
          </rPr>
          <t>(apgyvendinimo, maitinimo paslaugos, kultūrinė programa)</t>
        </r>
      </text>
    </comment>
    <comment ref="K88" authorId="0" shapeId="0">
      <text>
        <r>
          <rPr>
            <b/>
            <sz val="9"/>
            <color indexed="81"/>
            <rFont val="Tahoma"/>
            <family val="2"/>
            <charset val="186"/>
          </rPr>
          <t>Objektai:</t>
        </r>
        <r>
          <rPr>
            <sz val="9"/>
            <color indexed="81"/>
            <rFont val="Tahoma"/>
            <family val="2"/>
            <charset val="186"/>
          </rPr>
          <t xml:space="preserve">
1 Pastato (Žvejų g. 5) vamzdynų remontas;
2 Pastato (Liepojos g. 10A) namo cokolio ir fasado remontas;
3 Pastato (Tiltų g. 19) šildymo sistemos atnaujinimo remontas;
4 Pastato (Janonio g. 9) lietaus nuvedimo sistemos, fasadinių sienų tinko remontas;
5 Pastato (I. Kanto g. 11) stogo remontas;
6 Pastato (H. Manto g. 51) Stogo, lietaus nuvedimo sistemos remontas. Karšto, šalto vandens paskirstomojo vamzdyno remontas;
7 Pastato (Danės g. 7) namo modernizacijos remonto darbas.
</t>
        </r>
      </text>
    </comment>
    <comment ref="K98" authorId="0" shapeId="0">
      <text>
        <r>
          <rPr>
            <sz val="9"/>
            <color indexed="81"/>
            <rFont val="Tahoma"/>
            <family val="2"/>
            <charset val="186"/>
          </rPr>
          <t>Parengti pastatų Perkėlos g. 3, K. Donelaičio a. 5A, Senosios Smiltelės g. 6 padalinimo į atskirus turtinius vienetus projektai. Jūros g. 9-1 ir 9-1A apjungimo į vieną turtinį vienetą įregistravimo NT registre projektas.</t>
        </r>
      </text>
    </comment>
    <comment ref="E108" authorId="0" shapeId="0">
      <text>
        <r>
          <rPr>
            <b/>
            <sz val="9"/>
            <color indexed="81"/>
            <rFont val="Tahoma"/>
            <family val="2"/>
            <charset val="186"/>
          </rPr>
          <t xml:space="preserve">P1, 8.2.1. </t>
        </r>
        <r>
          <rPr>
            <sz val="9"/>
            <color indexed="81"/>
            <rFont val="Tahoma"/>
            <family val="2"/>
            <charset val="186"/>
          </rPr>
          <t>Parengta ir įgyvendinta Savivaldybės turto ir įmonių valdymo efektyvinimo koncepcija ir priemonių planas</t>
        </r>
      </text>
    </comment>
    <comment ref="E119" authorId="0" shapeId="0">
      <text>
        <r>
          <rPr>
            <b/>
            <sz val="9"/>
            <color indexed="81"/>
            <rFont val="Tahoma"/>
            <family val="2"/>
            <charset val="186"/>
          </rPr>
          <t xml:space="preserve">2013-2020 KSP </t>
        </r>
        <r>
          <rPr>
            <sz val="9"/>
            <color indexed="81"/>
            <rFont val="Tahoma"/>
            <family val="2"/>
            <charset val="186"/>
          </rPr>
          <t xml:space="preserve">P3.4.1.1, P3.4.2.1, P3.4.1.4
</t>
        </r>
      </text>
    </comment>
    <comment ref="J127" authorId="0" shapeId="0">
      <text>
        <r>
          <rPr>
            <sz val="9"/>
            <color indexed="81"/>
            <rFont val="Tahoma"/>
            <family val="2"/>
            <charset val="186"/>
          </rPr>
          <t>(savivaldybės administracija ir 116 biudžetinės įstaigos)</t>
        </r>
      </text>
    </comment>
    <comment ref="E129" authorId="0" shapeId="0">
      <text>
        <r>
          <rPr>
            <b/>
            <sz val="9"/>
            <color indexed="81"/>
            <rFont val="Tahoma"/>
            <family val="2"/>
            <charset val="186"/>
          </rPr>
          <t xml:space="preserve">2019-2023 m. veiklos prioritetai:
</t>
        </r>
        <r>
          <rPr>
            <sz val="9"/>
            <color indexed="81"/>
            <rFont val="Tahoma"/>
            <family val="2"/>
            <charset val="186"/>
          </rPr>
          <t xml:space="preserve">8.3.5. Sukurta  „Klaipėdiečio kortelės“ koncepcija ir įdiegta sistema.
</t>
        </r>
      </text>
    </comment>
    <comment ref="E137" authorId="0" shapeId="0">
      <text>
        <r>
          <rPr>
            <b/>
            <sz val="9"/>
            <color indexed="81"/>
            <rFont val="Tahoma"/>
            <family val="2"/>
            <charset val="186"/>
          </rPr>
          <t xml:space="preserve">P1, 8.3.2. </t>
        </r>
        <r>
          <rPr>
            <sz val="9"/>
            <color indexed="81"/>
            <rFont val="Tahoma"/>
            <family val="2"/>
            <charset val="186"/>
          </rPr>
          <t xml:space="preserve">Savivaldybės administracijoje įdiegta ir funkcionuoja kokybės vadybos sistema
</t>
        </r>
      </text>
    </comment>
    <comment ref="J137"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E138"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 priemonė
</t>
        </r>
      </text>
    </comment>
    <comment ref="E139" authorId="0" shapeId="0">
      <text>
        <r>
          <rPr>
            <b/>
            <sz val="9"/>
            <color indexed="81"/>
            <rFont val="Tahoma"/>
            <family val="2"/>
            <charset val="186"/>
          </rPr>
          <t xml:space="preserve">P3.4.3.5 </t>
        </r>
        <r>
          <rPr>
            <sz val="9"/>
            <color indexed="81"/>
            <rFont val="Tahoma"/>
            <family val="2"/>
            <charset val="186"/>
          </rPr>
          <t xml:space="preserve">Diegti visuotinės kokybės vadybos principus Savivaldybės administracijoje
</t>
        </r>
      </text>
    </comment>
    <comment ref="E140" authorId="0" shapeId="0">
      <text>
        <r>
          <rPr>
            <b/>
            <sz val="9"/>
            <color indexed="81"/>
            <rFont val="Tahoma"/>
            <family val="2"/>
            <charset val="186"/>
          </rPr>
          <t>P1,</t>
        </r>
        <r>
          <rPr>
            <sz val="9"/>
            <color indexed="81"/>
            <rFont val="Tahoma"/>
            <family val="2"/>
            <charset val="186"/>
          </rPr>
          <t xml:space="preserve"> 8.1.3. Patvirtintas ir įgyvendinamas Klaipėdos miesto  savivaldybės 2021–2030 m. strateginis plėtros planas
</t>
        </r>
      </text>
    </comment>
    <comment ref="E141" authorId="1" shapeId="0">
      <text>
        <r>
          <rPr>
            <sz val="9"/>
            <color indexed="81"/>
            <rFont val="Tahoma"/>
            <family val="2"/>
            <charset val="186"/>
          </rPr>
          <t xml:space="preserve">KEPS 1.1.5. Įdiegti veiklos rezultatų stebėsenos sistemą, pagrįstą procesų rodiklių matavimu, ir susieti ją su darbuotojų vertinimo ir motyvavimo sistema </t>
        </r>
      </text>
    </comment>
    <comment ref="E142" authorId="0" shapeId="0">
      <text>
        <r>
          <rPr>
            <b/>
            <sz val="9"/>
            <color indexed="81"/>
            <rFont val="Tahoma"/>
            <family val="2"/>
            <charset val="186"/>
          </rPr>
          <t xml:space="preserve">P1, 3.2.1. </t>
        </r>
        <r>
          <rPr>
            <sz val="9"/>
            <color indexed="81"/>
            <rFont val="Tahoma"/>
            <family val="2"/>
            <charset val="186"/>
          </rPr>
          <t xml:space="preserve">Patvirtinta dalyvaujamojo biudžeto koncepcija ir metodika
</t>
        </r>
      </text>
    </comment>
    <comment ref="E144" authorId="1" shapeId="0">
      <text>
        <r>
          <rPr>
            <sz val="9"/>
            <color indexed="81"/>
            <rFont val="Tahoma"/>
            <family val="2"/>
            <charset val="186"/>
          </rPr>
          <t xml:space="preserve">Priritetai P1
8.3.6. Įsteigtų nuotolinių gyventojų aptarnavimo centrų skaičius. </t>
        </r>
      </text>
    </comment>
  </commentList>
</comments>
</file>

<file path=xl/comments3.xml><?xml version="1.0" encoding="utf-8"?>
<comments xmlns="http://schemas.openxmlformats.org/spreadsheetml/2006/main">
  <authors>
    <author>Audra Cepiene</author>
    <author>Indrė Butenienė</author>
    <author>Rima Ališauskaitė</author>
  </authors>
  <commentList>
    <comment ref="N14" authorId="0" shapeId="0">
      <text>
        <r>
          <rPr>
            <sz val="9"/>
            <color indexed="81"/>
            <rFont val="Tahoma"/>
            <family val="2"/>
            <charset val="186"/>
          </rPr>
          <t>2018 m. birželio 28 d. sprendimą Nr. T2-125</t>
        </r>
      </text>
    </comment>
    <comment ref="O14" authorId="0" shapeId="0">
      <text>
        <r>
          <rPr>
            <sz val="9"/>
            <color indexed="81"/>
            <rFont val="Tahoma"/>
            <family val="2"/>
            <charset val="186"/>
          </rPr>
          <t>2019-11-28 Nr.T2-334 nustatytas didžiausias leistinas valstybės tarnautojų ir darbuotojų skaičius – 432,5</t>
        </r>
      </text>
    </comment>
    <comment ref="I18" authorId="0" shapeId="0">
      <text>
        <r>
          <rPr>
            <sz val="9"/>
            <color indexed="81"/>
            <rFont val="Tahoma"/>
            <family val="2"/>
            <charset val="186"/>
          </rPr>
          <t xml:space="preserve">VšĮ „Klaipėdos šventės“ vietinės rinkliavos administravimo apmokėjimas </t>
        </r>
      </text>
    </comment>
    <comment ref="M23" authorId="0" shapeId="0">
      <text>
        <r>
          <rPr>
            <sz val="9"/>
            <color indexed="81"/>
            <rFont val="Tahoma"/>
            <family val="2"/>
            <charset val="186"/>
          </rPr>
          <t xml:space="preserve">2019-11-28 sprendimas Nr. T2-333 "Savivaldybės administracijos struktūros ir nuostatų patvirtinimas"
Jei šiuo metu dirbantys tarnautojai ar darbuotojai atsisakytų dirbti pakeistomis sąlygomis ir reikėtų nutraukti tarnybos ar darbo santykius. Prognozuojant išeitines išmokas lėšų poreikis:
5 darbuotojai * 12 koef. * 176 Eur * 5 mėnesiai = 52800 eur.
</t>
        </r>
      </text>
    </comment>
    <comment ref="M41" authorId="0" shapeId="0">
      <text>
        <r>
          <rPr>
            <b/>
            <sz val="9"/>
            <color indexed="81"/>
            <rFont val="Tahoma"/>
            <family val="2"/>
            <charset val="186"/>
          </rPr>
          <t>Rinkodaros priemonės (Lėšas naudoti iš Viešųjų ryšių plėtojimo)</t>
        </r>
        <r>
          <rPr>
            <sz val="9"/>
            <color indexed="81"/>
            <rFont val="Tahoma"/>
            <family val="2"/>
            <charset val="186"/>
          </rPr>
          <t xml:space="preserve">
1. Vaizdinių reklaminių įrašų įsigijimas ir platinimas informacijos sklaida priešgaisrinės saugos tema (viešasis transportas, radijas, tv, spauda) 2 tūkst. eur;
2. Metodinių rekomendacijų leidyba (lankstinukai, skrajutės, atmintinės plakatai ir kt.), 0,5 tūkst. eur
3. Reprezentacinių suvenyrų su Klaipėdos m. savivaldybės ir Klaipėdos apskrities  gelbėjimo valdybos Civilinės saugos simbolika, 0,5 tūkst. eur ir kt
</t>
        </r>
      </text>
    </comment>
    <comment ref="M42" authorId="0" shapeId="0">
      <text>
        <r>
          <rPr>
            <b/>
            <sz val="9"/>
            <color indexed="81"/>
            <rFont val="Tahoma"/>
            <family val="2"/>
            <charset val="186"/>
          </rPr>
          <t xml:space="preserve">2020 m. mieste yra 15 sirenų;
</t>
        </r>
        <r>
          <rPr>
            <sz val="9"/>
            <color indexed="81"/>
            <rFont val="Tahoma"/>
            <family val="2"/>
            <charset val="186"/>
          </rPr>
          <t xml:space="preserve">Reikalinga pakeisti vieną variklinę sireną į naują akustinę sireną, kurios kaina;
Sirenų eksploatacinės išlaidos (15 vnt. + pulto techninė priežiūra)
</t>
        </r>
      </text>
    </comment>
    <comment ref="I43" authorId="0" shapeId="0">
      <text>
        <r>
          <rPr>
            <sz val="9"/>
            <color indexed="81"/>
            <rFont val="Tahoma"/>
            <family val="2"/>
            <charset val="186"/>
          </rPr>
          <t xml:space="preserve">2019 m. rinkimai - Savivaldybių tarybų, LR prezidento,  Europos parlamento. Lėšos didėja dėl privalomos politinės reklamos, darbo užmokesčio
</t>
        </r>
      </text>
    </comment>
    <comment ref="O43" authorId="0" shapeId="0">
      <text>
        <r>
          <rPr>
            <sz val="9"/>
            <color indexed="81"/>
            <rFont val="Tahoma"/>
            <family val="2"/>
            <charset val="186"/>
          </rPr>
          <t>(LR Seimo rinkimai)
Autobusiuko nuomos išlaidos ir kuro sąnaudos apie 600 Eur (10 d.d. po 60 Eur dienai), 3 vnt. balsadėžės - 150 Eur/vnt, 4 vnt. kabinos - 250 Eur/vnt.</t>
        </r>
      </text>
    </comment>
    <comment ref="O44" authorId="0" shapeId="0">
      <text>
        <r>
          <rPr>
            <b/>
            <sz val="9"/>
            <color indexed="81"/>
            <rFont val="Tahoma"/>
            <family val="2"/>
            <charset val="186"/>
          </rPr>
          <t>atlyginimas</t>
        </r>
        <r>
          <rPr>
            <sz val="9"/>
            <color indexed="81"/>
            <rFont val="Tahoma"/>
            <family val="2"/>
            <charset val="186"/>
          </rPr>
          <t xml:space="preserve">
</t>
        </r>
      </text>
    </comment>
    <comment ref="K51" authorId="0" shapeId="0">
      <text>
        <r>
          <rPr>
            <sz val="9"/>
            <color indexed="81"/>
            <rFont val="Tahoma"/>
            <family val="2"/>
            <charset val="186"/>
          </rPr>
          <t xml:space="preserve">Klaipėdos miesto savivaldybės administracija gavo </t>
        </r>
        <r>
          <rPr>
            <b/>
            <sz val="9"/>
            <color indexed="81"/>
            <rFont val="Tahoma"/>
            <family val="2"/>
            <charset val="186"/>
          </rPr>
          <t xml:space="preserve">22 tūkst. </t>
        </r>
        <r>
          <rPr>
            <sz val="9"/>
            <color indexed="81"/>
            <rFont val="Tahoma"/>
            <family val="2"/>
            <charset val="186"/>
          </rPr>
          <t xml:space="preserve">Eurų baudą iš Konkurencijos tarybos už konkurencijos pažeidimą sudarydama vidaus sandorį su UAB “Gatvių apšvietimas” </t>
        </r>
      </text>
    </comment>
    <comment ref="O53" authorId="0" shapeId="0">
      <text>
        <r>
          <rPr>
            <sz val="9"/>
            <color indexed="81"/>
            <rFont val="Tahoma"/>
            <family val="2"/>
            <charset val="186"/>
          </rPr>
          <t>valdų 9, DNSB 11</t>
        </r>
      </text>
    </comment>
    <comment ref="O66" authorId="0" shapeId="0">
      <text>
        <r>
          <rPr>
            <b/>
            <sz val="9"/>
            <color indexed="81"/>
            <rFont val="Tahoma"/>
            <family val="2"/>
            <charset val="186"/>
          </rPr>
          <t xml:space="preserve">2019-11-28 Nr. T1-327 </t>
        </r>
        <r>
          <rPr>
            <sz val="9"/>
            <color indexed="81"/>
            <rFont val="Tahoma"/>
            <family val="2"/>
            <charset val="186"/>
          </rPr>
          <t>nustatytas Klaipėdos m. tarybos ir mero sekretoriato valstybės tarnautojų ir darbuotojų, dirbančių pagal darbo sutartis, skaičių –</t>
        </r>
        <r>
          <rPr>
            <b/>
            <sz val="9"/>
            <color indexed="81"/>
            <rFont val="Tahoma"/>
            <family val="2"/>
            <charset val="186"/>
          </rPr>
          <t xml:space="preserve"> 17</t>
        </r>
        <r>
          <rPr>
            <sz val="9"/>
            <color indexed="81"/>
            <rFont val="Tahoma"/>
            <family val="2"/>
            <charset val="186"/>
          </rPr>
          <t xml:space="preserve"> (iš jų 4 – politinio (asmeninio) pasitikėjimo valstybės tarnautojai).</t>
        </r>
      </text>
    </comment>
    <comment ref="E71" authorId="0" shapeId="0">
      <text>
        <r>
          <rPr>
            <sz val="9"/>
            <color indexed="81"/>
            <rFont val="Tahoma"/>
            <family val="2"/>
            <charset val="186"/>
          </rPr>
          <t xml:space="preserve">Pagal 2016-06-23 sprendimu Nr. T2-184 patvirtintą Klaipėdos miesto savivaldybės Tarybos veiklos reglamento 21 p., LR Vietos savivaldos įstatymo 19 str. 19 p. bei Statistikos departamento duomenimis (1278(VMDU)*1,5*12)=23 004 Eur; </t>
        </r>
      </text>
    </comment>
    <comment ref="M74" authorId="0" shapeId="0">
      <text>
        <r>
          <rPr>
            <sz val="9"/>
            <color indexed="81"/>
            <rFont val="Tahoma"/>
            <family val="2"/>
            <charset val="186"/>
          </rPr>
          <t>Savivaldybių asociacija (0,03 proc. nuo biudžeto apimties), VVG, ŽVVG po 50 eur per metus</t>
        </r>
      </text>
    </comment>
    <comment ref="F76" authorId="1" shapeId="0">
      <text>
        <r>
          <rPr>
            <b/>
            <sz val="9"/>
            <color indexed="81"/>
            <rFont val="Tahoma"/>
            <family val="2"/>
            <charset val="186"/>
          </rPr>
          <t>KEPS</t>
        </r>
        <r>
          <rPr>
            <sz val="9"/>
            <color indexed="81"/>
            <rFont val="Tahoma"/>
            <family val="2"/>
            <charset val="186"/>
          </rPr>
          <t xml:space="preserve"> </t>
        </r>
        <r>
          <rPr>
            <b/>
            <sz val="9"/>
            <color indexed="81"/>
            <rFont val="Tahoma"/>
            <family val="2"/>
            <charset val="186"/>
          </rPr>
          <t>3.4.2.</t>
        </r>
        <r>
          <rPr>
            <sz val="9"/>
            <color indexed="81"/>
            <rFont val="Tahoma"/>
            <family val="2"/>
            <charset val="186"/>
          </rPr>
          <t xml:space="preserve"> Plėsti Klaipėdos apskrities, vienijančios 7 savivaldybes, bendradarbiavimą sprendžiant viso regiono patrauklumo klausimus </t>
        </r>
        <r>
          <rPr>
            <sz val="9"/>
            <color indexed="81"/>
            <rFont val="Tahoma"/>
            <family val="2"/>
            <charset val="186"/>
          </rPr>
          <t xml:space="preserve">
</t>
        </r>
      </text>
    </comment>
    <comment ref="F78" authorId="2" shapeId="0">
      <text>
        <r>
          <rPr>
            <b/>
            <sz val="9"/>
            <color indexed="81"/>
            <rFont val="Tahoma"/>
            <family val="2"/>
            <charset val="186"/>
          </rPr>
          <t>Rima Ališauskaitė: KEPS 2030 1.1.4. uždavinys</t>
        </r>
        <r>
          <rPr>
            <sz val="9"/>
            <color indexed="81"/>
            <rFont val="Tahoma"/>
            <family val="2"/>
            <charset val="186"/>
          </rPr>
          <t xml:space="preserve">
Sudaryti sąlygas gauti investuotojams ir talentams aktualias viešąsias pas-laugas ir dokumentus anglų kalba: pa-rengti dvikalbius dokumentų šablonus, teikti paslaugas ir priimti dokumentus, užpildytus anglų kalba</t>
        </r>
      </text>
    </comment>
    <comment ref="O79" authorId="0" shapeId="0">
      <text>
        <r>
          <rPr>
            <b/>
            <sz val="9"/>
            <color indexed="81"/>
            <rFont val="Tahoma"/>
            <family val="2"/>
            <charset val="186"/>
          </rPr>
          <t xml:space="preserve">9+8+5
</t>
        </r>
      </text>
    </comment>
    <comment ref="F82" authorId="2" shapeId="0">
      <text>
        <r>
          <rPr>
            <sz val="9"/>
            <color indexed="81"/>
            <rFont val="Tahoma"/>
            <family val="2"/>
            <charset val="186"/>
          </rPr>
          <t>KEPS 2030 1.3.7. uždavinys Organizuoti nišinius tarptautinius mega-renginius, susijusius su prioritetinių sričių, verslumo skatinimo temomis</t>
        </r>
      </text>
    </comment>
    <comment ref="M82" authorId="0" shapeId="0">
      <text>
        <r>
          <rPr>
            <sz val="9"/>
            <color indexed="81"/>
            <rFont val="Tahoma"/>
            <family val="2"/>
            <charset val="186"/>
          </rPr>
          <t>(apgyvendinimo, maitinimo paslaugos, kultūrinė programa)</t>
        </r>
      </text>
    </comment>
    <comment ref="F84" authorId="2" shapeId="0">
      <text>
        <r>
          <rPr>
            <b/>
            <sz val="9"/>
            <color indexed="81"/>
            <rFont val="Tahoma"/>
            <family val="2"/>
            <charset val="186"/>
          </rPr>
          <t>Rima Ališauskaitė:</t>
        </r>
        <r>
          <rPr>
            <sz val="9"/>
            <color indexed="81"/>
            <rFont val="Tahoma"/>
            <family val="2"/>
            <charset val="186"/>
          </rPr>
          <t xml:space="preserve">
1.5.1. uždavinys keps 2030 Paversti KEPA daugiafunkcių paslaugų talentų pritraukimo, integracijos ir išlai-kymo centru, atsakingu už miesto rin-kodarą, susijusią su talentų pritrau-kimu, ir programų koordinavimą su na-cionalinėmis įstaigomis (VL, LSA) ir NVO</t>
        </r>
      </text>
    </comment>
    <comment ref="O116" authorId="0" shapeId="0">
      <text>
        <r>
          <rPr>
            <sz val="9"/>
            <color indexed="81"/>
            <rFont val="Tahoma"/>
            <family val="2"/>
            <charset val="186"/>
          </rPr>
          <t>Parengti pastatų Perkėlos g. 3, K. Donelaičio a. 5A, Senosios Smiltelės g. 6 padalinimo į atskirus turtinius vienetus projektai. Jūros g. 9-1 ir 9-1A apjungimo į vieną turtinį vienetą įregistravimo NT registre projektas.</t>
        </r>
      </text>
    </comment>
    <comment ref="M123" authorId="0" shapeId="0">
      <text>
        <r>
          <rPr>
            <sz val="9"/>
            <color indexed="81"/>
            <rFont val="Tahoma"/>
            <family val="2"/>
            <charset val="186"/>
          </rPr>
          <t>2019 m. yra daromas sutarties keitimas dėl papildomų (stogo remonto) darbų įtraukimo. Planuojama šiais metais atlikti apie 30-40 proc. darbų. Apmokėjimas planuojamas IV ket. 2020 m. darbams užbaigti reikia</t>
        </r>
        <r>
          <rPr>
            <b/>
            <sz val="9"/>
            <color indexed="81"/>
            <rFont val="Tahoma"/>
            <family val="2"/>
            <charset val="186"/>
          </rPr>
          <t xml:space="preserve"> 117 tūkst. eur</t>
        </r>
      </text>
    </comment>
    <comment ref="M126" authorId="0" shapeId="0">
      <text>
        <r>
          <rPr>
            <sz val="9"/>
            <color indexed="81"/>
            <rFont val="Tahoma"/>
            <family val="2"/>
            <charset val="186"/>
          </rPr>
          <t>Per du metus išpirkta - gyvenamųjų ir negyvenamųjų patalpų Nemuno g. 113 (9 butai, 3 negyvenamosios patalpos, 1 sandėlis) ir Nemuno g. 133 (12 butų, 1 sandėlis), Klaipėdoje, nuosavybės teise priklausančio fiziniams ir juridiniams asmenims (toliau – NT) – pirkimą.</t>
        </r>
      </text>
    </comment>
    <comment ref="F128" authorId="0" shapeId="0">
      <text>
        <r>
          <rPr>
            <b/>
            <sz val="9"/>
            <color indexed="81"/>
            <rFont val="Tahoma"/>
            <family val="2"/>
            <charset val="186"/>
          </rPr>
          <t xml:space="preserve">P1, 8.2.1. </t>
        </r>
        <r>
          <rPr>
            <sz val="9"/>
            <color indexed="81"/>
            <rFont val="Tahoma"/>
            <family val="2"/>
            <charset val="186"/>
          </rPr>
          <t>Parengta ir įgyvendinta Savivaldybės turto ir įmonių valdymo efektyvinimo koncepcija ir priemonių planas</t>
        </r>
      </text>
    </comment>
    <comment ref="M128" authorId="0" shapeId="0">
      <text>
        <r>
          <rPr>
            <sz val="9"/>
            <color indexed="81"/>
            <rFont val="Tahoma"/>
            <family val="2"/>
            <charset val="186"/>
          </rPr>
          <t>Siūloma parengti veiksmų planą, kuriame būtų numatyti strateginiai sprendimai dėl turto ir įmonių valdymo efektyvinimo:  nereikalingo turto pardavimo, kriterijų, kuriuos turi atitikti panaudos gavėjai įvedimo ir t.t. Planą parengti ketinama 2019 m., pilnai įgyvendinti - 2023 m.</t>
        </r>
      </text>
    </comment>
    <comment ref="M134" authorId="0" shapeId="0">
      <text>
        <r>
          <rPr>
            <sz val="9"/>
            <color indexed="81"/>
            <rFont val="Tahoma"/>
            <family val="2"/>
            <charset val="186"/>
          </rPr>
          <t xml:space="preserve">2018-10-15 protokolas Nr. ADM1-364
NUTARTA:
1. Pritarti </t>
        </r>
        <r>
          <rPr>
            <b/>
            <sz val="9"/>
            <color indexed="81"/>
            <rFont val="Tahoma"/>
            <family val="2"/>
            <charset val="186"/>
          </rPr>
          <t xml:space="preserve">Istorinių laivų krantinės Klaipėdos piliavietėje sutvarkymo </t>
        </r>
        <r>
          <rPr>
            <sz val="9"/>
            <color indexed="81"/>
            <rFont val="Tahoma"/>
            <family val="2"/>
            <charset val="186"/>
          </rPr>
          <t xml:space="preserve">sprendimui pirmiausia atlikti krantinės ekspertizę, techninio stovio įvertinimą. Ekspertizę planuoti Statybos leidimų ir statinių priežiūros skyriui priemonėje „Savivaldybei priklausančių statinių esamos techninės būklės įvertinimo paslaugų įsigijimas“.
2. Projektavimo užduotį rengti atsižvelgiant į ekspertizės išvadas.
</t>
        </r>
      </text>
    </comment>
    <comment ref="N134" authorId="0" shapeId="0">
      <text>
        <r>
          <rPr>
            <sz val="9"/>
            <color indexed="81"/>
            <rFont val="Tahoma"/>
            <family val="2"/>
            <charset val="186"/>
          </rPr>
          <t xml:space="preserve">
Planuojama baigti pirkimus III ketvirtyje.
Pasiūlymų vertė buvo mažesnė nei numatyta, todėl už nepanaudotas lėšas numatyta papildomai pirkti 
"Administracinio pastato Liepų g. 11, Klaipėdoje energetinio vertinimo paslauga" (2019-08-16 direktoriaus įsakymas Nr. AD2-1382) bei dviejų gydymo įstaigų "pastatų (jų dalių) techninės būklės įvertinimo paslaugas" (2019-09-03 direktoriaus įsakymas Nr. AD2-1495). </t>
        </r>
      </text>
    </comment>
    <comment ref="M149" authorId="0" shapeId="0">
      <text>
        <r>
          <rPr>
            <sz val="9"/>
            <color indexed="81"/>
            <rFont val="Tahoma"/>
            <family val="2"/>
            <charset val="186"/>
          </rPr>
          <t>(savivaldybės administracija ir 116 biudžetinė įstaiga)</t>
        </r>
      </text>
    </comment>
    <comment ref="F151" authorId="1" shapeId="0">
      <text>
        <r>
          <rPr>
            <b/>
            <sz val="9"/>
            <color indexed="81"/>
            <rFont val="Tahoma"/>
            <family val="2"/>
            <charset val="186"/>
          </rPr>
          <t xml:space="preserve">2019-2023 m. veiklos prioritetai:
</t>
        </r>
        <r>
          <rPr>
            <sz val="9"/>
            <color indexed="81"/>
            <rFont val="Tahoma"/>
            <family val="2"/>
            <charset val="186"/>
          </rPr>
          <t xml:space="preserve">8.3.5. Sukurta  „Klaipėdiečio kortelės“ koncepcija ir įdiegta sistema.
</t>
        </r>
      </text>
    </comment>
    <comment ref="E157"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57"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 priemonė
</t>
        </r>
        <r>
          <rPr>
            <b/>
            <sz val="9"/>
            <color indexed="81"/>
            <rFont val="Tahoma"/>
            <family val="2"/>
            <charset val="186"/>
          </rPr>
          <t>P1,</t>
        </r>
        <r>
          <rPr>
            <sz val="9"/>
            <color indexed="81"/>
            <rFont val="Tahoma"/>
            <family val="2"/>
            <charset val="186"/>
          </rPr>
          <t xml:space="preserve"> 8.3.2. Savivaldybės administracijoje įdiegta ir funkcionuoja kokybės vadybos sistema</t>
        </r>
      </text>
    </comment>
    <comment ref="M157"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58" authorId="0" shapeId="0">
      <text>
        <r>
          <rPr>
            <b/>
            <sz val="9"/>
            <color indexed="81"/>
            <rFont val="Tahoma"/>
            <family val="2"/>
            <charset val="186"/>
          </rPr>
          <t xml:space="preserve">P3.4.3.5 </t>
        </r>
        <r>
          <rPr>
            <sz val="9"/>
            <color indexed="81"/>
            <rFont val="Tahoma"/>
            <family val="2"/>
            <charset val="186"/>
          </rPr>
          <t>Diegti visuotinės kokybės vadybos principus Savivaldybės administracijoje,</t>
        </r>
      </text>
    </comment>
    <comment ref="F160" authorId="0" shapeId="0">
      <text>
        <r>
          <rPr>
            <b/>
            <sz val="9"/>
            <color indexed="81"/>
            <rFont val="Tahoma"/>
            <family val="2"/>
            <charset val="186"/>
          </rPr>
          <t>P1,</t>
        </r>
        <r>
          <rPr>
            <sz val="9"/>
            <color indexed="81"/>
            <rFont val="Tahoma"/>
            <family val="2"/>
            <charset val="186"/>
          </rPr>
          <t xml:space="preserve"> 8.1.3. Patvirtintas ir įgyvendinamas Klaipėdos miesto  savivaldybės 2021–2030 m. strateginis plėtros planas
</t>
        </r>
      </text>
    </comment>
    <comment ref="F161" authorId="1" shapeId="0">
      <text>
        <r>
          <rPr>
            <sz val="9"/>
            <color indexed="81"/>
            <rFont val="Tahoma"/>
            <family val="2"/>
            <charset val="186"/>
          </rPr>
          <t xml:space="preserve">KEPS 1.1.5. Įdiegti veiklos rezultatų stebėsenos sistemą, pagrįstą procesų rodiklių matavimu, ir susieti ją su darbuotojų vertinimo ir motyvavimo sistema </t>
        </r>
      </text>
    </comment>
    <comment ref="F162" authorId="0" shapeId="0">
      <text>
        <r>
          <rPr>
            <b/>
            <sz val="9"/>
            <color indexed="81"/>
            <rFont val="Tahoma"/>
            <family val="2"/>
            <charset val="186"/>
          </rPr>
          <t>P1,</t>
        </r>
        <r>
          <rPr>
            <sz val="9"/>
            <color indexed="81"/>
            <rFont val="Tahoma"/>
            <family val="2"/>
            <charset val="186"/>
          </rPr>
          <t xml:space="preserve"> 3.2.1. Patvirtinta dalyvaujamojo biudžeto koncepcija ir metodika
</t>
        </r>
      </text>
    </comment>
    <comment ref="F164" authorId="1" shapeId="0">
      <text>
        <r>
          <rPr>
            <b/>
            <sz val="9"/>
            <color indexed="81"/>
            <rFont val="Tahoma"/>
            <family val="2"/>
            <charset val="186"/>
          </rPr>
          <t>Indrė Butenienė:</t>
        </r>
        <r>
          <rPr>
            <sz val="9"/>
            <color indexed="81"/>
            <rFont val="Tahoma"/>
            <family val="2"/>
            <charset val="186"/>
          </rPr>
          <t xml:space="preserve">
8.3.6. Įsteigtų nuotolinių gyventojų aptarnavimo centrų skaičius. </t>
        </r>
      </text>
    </comment>
    <comment ref="F165"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P1, 8.3.1. Patvirtinta ir  įgyvendinta nauja Savivaldybės darbo organizavimo struktūra
</t>
        </r>
      </text>
    </comment>
    <comment ref="I171" authorId="0" shapeId="0">
      <text>
        <r>
          <rPr>
            <sz val="9"/>
            <color indexed="81"/>
            <rFont val="Tahoma"/>
            <family val="2"/>
            <charset val="186"/>
          </rPr>
          <t xml:space="preserve">Techninis projektas bus parengtas 2019 m. vasario mėn. Kaina 11,9 tūkst. eur
</t>
        </r>
      </text>
    </comment>
    <comment ref="M171" authorId="0" shapeId="0">
      <text>
        <r>
          <rPr>
            <b/>
            <sz val="9"/>
            <color indexed="81"/>
            <rFont val="Tahoma"/>
            <family val="2"/>
            <charset val="186"/>
          </rPr>
          <t>Pastato Šimkaus g. 11 remonto darbai:</t>
        </r>
        <r>
          <rPr>
            <sz val="9"/>
            <color indexed="81"/>
            <rFont val="Tahoma"/>
            <family val="2"/>
            <charset val="186"/>
          </rPr>
          <t xml:space="preserve">
stogas (1350 m²), stogo remonto kaina – 86,7 tūkst. eur,
fasadas (125 m²),
patalpos (200 m²), 
projekto vertė 659 tūkst. eur, stogo remtui 86,7 tūkst. eur</t>
        </r>
      </text>
    </comment>
    <comment ref="N182" authorId="0" shapeId="0">
      <text>
        <r>
          <rPr>
            <sz val="9"/>
            <color indexed="81"/>
            <rFont val="Tahoma"/>
            <family val="2"/>
            <charset val="186"/>
          </rPr>
          <t>Remonto darbai atlikti, tačiau atliktų darbų akte nurodyti darbai nesutampa su sutartyje nurodytais. Ieškoma kaip apmokėti už darbus</t>
        </r>
      </text>
    </comment>
    <comment ref="I198" authorId="0" shapeId="0">
      <text>
        <r>
          <rPr>
            <b/>
            <sz val="9"/>
            <color indexed="81"/>
            <rFont val="Tahoma"/>
            <family val="2"/>
            <charset val="186"/>
          </rPr>
          <t xml:space="preserve">14341,5
</t>
        </r>
        <r>
          <rPr>
            <sz val="9"/>
            <color indexed="81"/>
            <rFont val="Tahoma"/>
            <family val="2"/>
            <charset val="186"/>
          </rPr>
          <t xml:space="preserve">
</t>
        </r>
      </text>
    </comment>
    <comment ref="J198" authorId="0" shapeId="0">
      <text>
        <r>
          <rPr>
            <b/>
            <sz val="9"/>
            <color indexed="81"/>
            <rFont val="Tahoma"/>
            <family val="2"/>
            <charset val="186"/>
          </rPr>
          <t>15196,7+246,1 biudžetas</t>
        </r>
        <r>
          <rPr>
            <sz val="9"/>
            <color indexed="81"/>
            <rFont val="Tahoma"/>
            <family val="2"/>
            <charset val="186"/>
          </rPr>
          <t xml:space="preserve">
</t>
        </r>
      </text>
    </comment>
  </commentList>
</comments>
</file>

<file path=xl/sharedStrings.xml><?xml version="1.0" encoding="utf-8"?>
<sst xmlns="http://schemas.openxmlformats.org/spreadsheetml/2006/main" count="1176" uniqueCount="318">
  <si>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</si>
  <si>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</si>
  <si>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</si>
  <si>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</si>
  <si>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</si>
  <si>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</si>
  <si>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</si>
  <si>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</si>
  <si>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</si>
  <si>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</si>
  <si>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</si>
  <si>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</si>
  <si>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</si>
  <si>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</si>
  <si>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</si>
  <si>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</si>
  <si>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</si>
  <si>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</si>
  <si>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</si>
  <si>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</si>
  <si>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</si>
  <si>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</si>
  <si>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</si>
  <si>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</si>
  <si>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</si>
  <si>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</si>
  <si>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</si>
  <si>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</si>
  <si>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</si>
  <si>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</si>
  <si>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</si>
  <si>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</si>
  <si>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</si>
  <si>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</si>
  <si>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</si>
  <si>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</si>
  <si>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</si>
  <si>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</si>
  <si>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Namų administratorių, teikiančių paslaugas, skaičius</t>
  </si>
  <si>
    <t>09</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</si>
  <si>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</si>
  <si>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</si>
  <si>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</si>
  <si>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</si>
  <si>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</si>
  <si>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</si>
  <si>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</si>
  <si>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</si>
  <si>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</si>
  <si>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</si>
  <si>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</si>
  <si>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</si>
  <si>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</si>
  <si>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</si>
  <si>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</si>
  <si>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</si>
  <si>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</si>
  <si>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</si>
  <si>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</si>
  <si>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</si>
  <si>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</si>
  <si>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</si>
  <si>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</si>
  <si>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</si>
  <si>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</si>
  <si>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</si>
  <si>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</si>
  <si>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</si>
  <si>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</si>
  <si>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</si>
  <si>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</si>
  <si>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</si>
  <si>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</si>
  <si>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</si>
  <si>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</si>
  <si>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</si>
  <si>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</si>
  <si>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</si>
  <si>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</si>
  <si>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</si>
  <si>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</si>
  <si>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</si>
  <si>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</si>
  <si>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</si>
  <si>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</si>
  <si>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</si>
  <si>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</si>
  <si>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</si>
  <si>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</si>
  <si>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</si>
  <si>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Nugriauta statinių, vnt. </t>
  </si>
  <si>
    <t>P.3.4.3.1</t>
  </si>
  <si>
    <r>
      <t xml:space="preserve">Žemės pardavimų likučio lėšos </t>
    </r>
    <r>
      <rPr>
        <b/>
        <sz val="10"/>
        <rFont val="Times New Roman"/>
        <family val="1"/>
        <charset val="186"/>
      </rPr>
      <t>SB(ŽPL)</t>
    </r>
  </si>
  <si>
    <t>Lietuvoje veikiančių asociacijų, kurių narė yra savivaldybė, skaičius</t>
  </si>
  <si>
    <t>Vykdoma sutarčių su Klaipėdos rajono savivaldybe, vnt.</t>
  </si>
  <si>
    <t>Įsigyta organizacinės technikos, vnt.</t>
  </si>
  <si>
    <t xml:space="preserve">Eksploatuojama kompiuterių, vnt. </t>
  </si>
  <si>
    <t>Įsigyta kompiuterinės technikos, vnt.</t>
  </si>
  <si>
    <t>Išsiųsta laiškų, tūkst. vnt.</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</si>
  <si>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</si>
  <si>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</si>
  <si>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</si>
  <si>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</si>
  <si>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</si>
  <si>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</si>
  <si>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</si>
  <si>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</si>
  <si>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</si>
  <si>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</si>
  <si>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</si>
  <si>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SB(L)</t>
  </si>
  <si>
    <t>2019-ieji metai</t>
  </si>
  <si>
    <t>Aiškinamojo rašto priedas Nr.3</t>
  </si>
  <si>
    <t xml:space="preserve"> Klaipėdos miesto savivaldybės administracijos perkėlimas į naujas patalpas</t>
  </si>
  <si>
    <t>Mokamas narystės asociacijoje „Klaipėdos regionas“ mokestis, skaičius</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</si>
  <si>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</si>
  <si>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</si>
  <si>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</si>
  <si>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</si>
  <si>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</si>
  <si>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</si>
  <si>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</si>
  <si>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</si>
  <si>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</si>
  <si>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</si>
  <si>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Kapinių priežiūros skyriaus pastato remontas (Toleikių k., Klaipėdos r. sav.)</t>
  </si>
  <si>
    <t>Įsigytas turtas, vnt.</t>
  </si>
  <si>
    <t>2020-ųjų metų lėšų projektas</t>
  </si>
  <si>
    <t>2020-ieji metai</t>
  </si>
  <si>
    <t>Nupirkta spaudos ploto dienraščiuose, tūkst. kv. cm</t>
  </si>
  <si>
    <t xml:space="preserve">Gerinti gyventojų aptarnavimo kokybę, diegiant pažangius vadybos principus </t>
  </si>
  <si>
    <t>ES</t>
  </si>
  <si>
    <t>Įsteigta piliečių chartija, vnt.</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</si>
  <si>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</si>
  <si>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</si>
  <si>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</si>
  <si>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Eksploatuojama administracinių teisės pažeidimų protokolų valdymo programa, vartotojų skaičius </t>
  </si>
  <si>
    <t>Naudojamos programinės įrangos licencijos, vnt.</t>
  </si>
  <si>
    <t>Strateginio planavimo skyrius</t>
  </si>
  <si>
    <t>Atlikta pastato Debreceno g. 41 vidaus patalpų remonto darbų. Užbaigtumas, proc.</t>
  </si>
  <si>
    <t>Parengtas planas, vnt.</t>
  </si>
  <si>
    <r>
      <t xml:space="preserve">Europos Sąjungos paramos lėšos </t>
    </r>
    <r>
      <rPr>
        <b/>
        <sz val="10"/>
        <rFont val="Times New Roman"/>
        <family val="1"/>
        <charset val="186"/>
      </rPr>
      <t>ES</t>
    </r>
  </si>
  <si>
    <t>Pašto patalpų Aukštoji g. 13, Klaipėdoje išpirkimas</t>
  </si>
  <si>
    <t>Patvirtinta nauja Savivaldybės administracijos organizacinė struktūra, vnt.</t>
  </si>
  <si>
    <t>Savivaldybės administracijos organizacinės struktūros tobulinimas</t>
  </si>
  <si>
    <t>Atstovavimo teismuose ir teismų sprendimų vykdymo organizavimas bei teismo išlaidų apmokėjimas</t>
  </si>
  <si>
    <t>Civilinės atsakomybės draudimo įsigijimas</t>
  </si>
  <si>
    <t>Socialinės paramos skyriaus patalpų remontas (Vytauto g. 13)</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</si>
  <si>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</si>
  <si>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</si>
  <si>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</si>
  <si>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</si>
  <si>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Tobulinti savivaldybės administracijos veiklos valdymą:</t>
  </si>
  <si>
    <t>Suremontuota kabinetų ploto, kv. m</t>
  </si>
  <si>
    <t>Atlikta pastato stogo, fasado, vidaus vamzdynų ir patalpų  remonto darbų. Užbaigtumas, proc.</t>
  </si>
  <si>
    <t>Atlikta pastato fasado remonto darbų. Užbaigtumas, proc.</t>
  </si>
  <si>
    <t>Atlikta pastato patalpų remonto darbų. Užbaigtumas, proc.</t>
  </si>
  <si>
    <t>Pastato Liepų g. 11 fasado ir patalpų remontas</t>
  </si>
  <si>
    <t>Skirtumas</t>
  </si>
  <si>
    <t>Paaiškinimas</t>
  </si>
  <si>
    <t>Lyginamasis variantas</t>
  </si>
  <si>
    <t>2021-ųjų metų lėšų projektas</t>
  </si>
  <si>
    <t>2021-ieji metai</t>
  </si>
  <si>
    <t>1000</t>
  </si>
  <si>
    <t xml:space="preserve">Projekto „Paslaugų teikimo gyventojams kokybės gerinimas Klaipėdos regiono savivaldybėse“ įgyvendinimas </t>
  </si>
  <si>
    <t>Išsinuomota ir užpildyta stelažų dokumentų saugojimui (Archyvo veiklai), m</t>
  </si>
  <si>
    <t>26/3</t>
  </si>
  <si>
    <t>180 /30</t>
  </si>
  <si>
    <t>Apmokyta darbuotojų ir mokymo programų skaičius</t>
  </si>
  <si>
    <t>95,4</t>
  </si>
  <si>
    <t>Suorganizuota renginių, vnt.</t>
  </si>
  <si>
    <t>Dalyvauta tarptautinių organizacijų veikloje, tarptautiniuose ir miestų partnerių organizuojamuose renginiuose, kartai per metus</t>
  </si>
  <si>
    <t>Sukurta virtuali laisvai samdomų darbuotojų platforma, vnt.</t>
  </si>
  <si>
    <t xml:space="preserve">Priemonių, susijusių su diasporos veikomis, įgyvendinimas </t>
  </si>
  <si>
    <t>Organizuotas tarptautinis renginys – „Globali Klaipėda" piliečių dialogas, vnt.</t>
  </si>
  <si>
    <t>Savivaldybės kontroliuojamų įmonių įstatinio kapitalo didinimas, perduodant inžinerinius tinklus funkcijoms vykdyti, neveikiančių įmonių likvidavimas</t>
  </si>
  <si>
    <t>Pastatų pripažinimo tinkamais naudoti dokumentų rengimas</t>
  </si>
  <si>
    <t>Privatiems asmenims priklausančių patalpų Nemuno g. 113 ir 133, Klaipėdoje, išpirkimas</t>
  </si>
  <si>
    <t>Išpirkta gyvenamųjų ir negyvenamųjų patalpų, sandėlis, vnt.</t>
  </si>
  <si>
    <t xml:space="preserve">Atlikta scenos (prie Šaulių g. 36) remonto darbų. Užbaigtumas, proc. </t>
  </si>
  <si>
    <t xml:space="preserve">Atlikta pastato (Šilutės pl. 38) stogo ir fasado remonto darbų. Užbaigtumas, proc. </t>
  </si>
  <si>
    <t>90</t>
  </si>
  <si>
    <t>Suremontuota apšvietimo prožektorių, vnt.</t>
  </si>
  <si>
    <t>Atlikta istorinių laivų krantinės Klaipėdos piliavietėje sutvarkymo ekspertizė bei techninio svorio įvertinimas, vnt.</t>
  </si>
  <si>
    <t>Sumažinto darbo užmokesčio grąžinimas darbuotojams, skaičius</t>
  </si>
  <si>
    <t>254</t>
  </si>
  <si>
    <t>Išversta į užsienio kalbas tarptautinio bendradarbiavimo dokumentų, puslapių skaičius</t>
  </si>
  <si>
    <t>Organizuota užsienio delegacijų priėmimų ir  pristatymų apie Klaipėdos miestą, vnt.</t>
  </si>
  <si>
    <t xml:space="preserve">Pastato Liepų g. 13 fasado remontas </t>
  </si>
  <si>
    <t>Atlikta remonto darbų H. Manto g. 51 ir Liepų g. 13. Užbaigtumas, proc.</t>
  </si>
  <si>
    <t xml:space="preserve">Archyvo patalpų elektros naudojimo įrenginių remontas </t>
  </si>
  <si>
    <t>Suremontuotas neįgaliųjų liftas (Liepų g. 11), vnt.</t>
  </si>
  <si>
    <t>Parengtas techninis projektas, vnt.</t>
  </si>
  <si>
    <t>Atlikta stogo remonto darbų. Užbaigtumas, proc.</t>
  </si>
  <si>
    <t>Patalpų nuoma Socialinės paramos skyriaus darbuotojams dėl Vytauto g. 13 patalpų remonto, mėn. per metus</t>
  </si>
  <si>
    <t>Savivaldybės administracijos veiklos užtikrinimas (pastatų eksploatacija, prekių ir paslaugų įsigijimas, korespondencijos siuntimas paštu, spaudinių prenumerata ir kt.)</t>
  </si>
  <si>
    <t>Viešosios tvarkos skyriaus veiklos užtikrinimas (pastatų eksploatacija, prekių ir paslaugų įsigijimas, korespondencijos siuntimas paštu ir kt.)</t>
  </si>
  <si>
    <t xml:space="preserve">Pastato Šimkaus g. 11 stogo remontas </t>
  </si>
  <si>
    <t>Užsienio delegacijų priėmimų organizavimas</t>
  </si>
  <si>
    <t>SB(KPP)</t>
  </si>
  <si>
    <r>
      <t xml:space="preserve">Kelių priežiūros ir plėtros programos lėšos įtrauktos į savivaldybės biudžetą </t>
    </r>
    <r>
      <rPr>
        <b/>
        <sz val="10"/>
        <rFont val="Times New Roman"/>
        <family val="1"/>
        <charset val="186"/>
      </rPr>
      <t>SB(KPP)</t>
    </r>
  </si>
  <si>
    <t>P3.4.3.5, P6</t>
  </si>
  <si>
    <t>P6</t>
  </si>
  <si>
    <t xml:space="preserve">Klaipėdos miesto savivaldybės valdymo </t>
  </si>
  <si>
    <t>programos (Nr. 03) aprašymo</t>
  </si>
  <si>
    <t>priedas</t>
  </si>
  <si>
    <t>2019-ųjų metų asignavimų planas</t>
  </si>
  <si>
    <t>Organizuotas tarptautinis renginys Klaipėdoje, vnt.</t>
  </si>
  <si>
    <t xml:space="preserve">Išsiųsta registruotų laiškų su įteikimu, paprastų laiškų Viešosios tvarkos skyriaus vykdomai veiklai, tūkst. vnt. </t>
  </si>
  <si>
    <t>Išnuomota autotransporto priemonių, vnt.</t>
  </si>
  <si>
    <t xml:space="preserve">Įdiegta ir taikoma vadybos metodų, vnt. </t>
  </si>
  <si>
    <t>Klaipėdos savivaldybės strateginio plėtros plano 2021–2030 m. parengimas</t>
  </si>
  <si>
    <r>
      <t xml:space="preserve">2019–2020 M. KLAIPĖDOS MIESTO SAVIVALDYBĖS </t>
    </r>
    <r>
      <rPr>
        <b/>
        <sz val="11"/>
        <rFont val="Times New Roman"/>
        <family val="1"/>
        <charset val="186"/>
      </rPr>
      <t xml:space="preserve">            </t>
    </r>
  </si>
  <si>
    <t>Įgyvendintas projektas, vnt.</t>
  </si>
  <si>
    <t>______________________________________</t>
  </si>
  <si>
    <r>
      <t xml:space="preserve">Europos Sąjungos paramos lėšos, kurios įtrauktos į savivaldybės biudžetą </t>
    </r>
    <r>
      <rPr>
        <b/>
        <sz val="10"/>
        <rFont val="Times New Roman"/>
        <family val="1"/>
        <charset val="186"/>
      </rPr>
      <t>SB(ES)</t>
    </r>
  </si>
  <si>
    <r>
      <t xml:space="preserve">Tarptautinio bendradarbiavimo vystymas, atstovaujant Klaipėdos miestui  (tarptautinės organizacijos – </t>
    </r>
    <r>
      <rPr>
        <i/>
        <sz val="10"/>
        <rFont val="Times New Roman"/>
        <family val="1"/>
        <charset val="186"/>
      </rPr>
      <t>Cruise Baltic</t>
    </r>
    <r>
      <rPr>
        <sz val="10"/>
        <rFont val="Times New Roman"/>
        <family val="1"/>
        <charset val="186"/>
      </rPr>
      <t xml:space="preserve"> – CB, EUROCITIES, </t>
    </r>
    <r>
      <rPr>
        <i/>
        <sz val="10"/>
        <rFont val="Times New Roman"/>
        <family val="1"/>
        <charset val="186"/>
      </rPr>
      <t>Union of the Baltic Cities</t>
    </r>
    <r>
      <rPr>
        <sz val="10"/>
        <rFont val="Times New Roman"/>
        <family val="1"/>
        <charset val="186"/>
      </rPr>
      <t xml:space="preserve"> – UBC, </t>
    </r>
    <r>
      <rPr>
        <i/>
        <sz val="10"/>
        <rFont val="Times New Roman"/>
        <family val="1"/>
        <charset val="186"/>
      </rPr>
      <t xml:space="preserve">Baltic Sail,  European Cities Against Drugs </t>
    </r>
    <r>
      <rPr>
        <sz val="10"/>
        <rFont val="Times New Roman"/>
        <family val="1"/>
        <charset val="186"/>
      </rPr>
      <t>– ECAD,</t>
    </r>
    <r>
      <rPr>
        <i/>
        <sz val="10"/>
        <rFont val="Times New Roman"/>
        <family val="1"/>
        <charset val="186"/>
      </rPr>
      <t xml:space="preserve"> Healthy Cities network – </t>
    </r>
    <r>
      <rPr>
        <sz val="10"/>
        <rFont val="Times New Roman"/>
        <family val="1"/>
        <charset val="186"/>
      </rPr>
      <t>WHO,</t>
    </r>
    <r>
      <rPr>
        <i/>
        <sz val="10"/>
        <rFont val="Times New Roman"/>
        <family val="1"/>
        <charset val="186"/>
      </rPr>
      <t xml:space="preserve"> Kommunnes Internasjonale Miljoorganisasjon – </t>
    </r>
    <r>
      <rPr>
        <sz val="10"/>
        <rFont val="Times New Roman"/>
        <family val="1"/>
        <charset val="186"/>
      </rPr>
      <t xml:space="preserve">KIMO, Istorinių miestų lyga – IMLA, Žydų kultūros paveldo Europoje asociacija, Hansos miestų sąjunga, </t>
    </r>
    <r>
      <rPr>
        <i/>
        <sz val="10"/>
        <rFont val="Times New Roman"/>
        <family val="1"/>
        <charset val="186"/>
      </rPr>
      <t>Tall Ships Races Europe Ltd.</t>
    </r>
    <r>
      <rPr>
        <sz val="10"/>
        <rFont val="Times New Roman"/>
        <family val="1"/>
        <charset val="186"/>
      </rPr>
      <t xml:space="preserve"> (</t>
    </r>
    <r>
      <rPr>
        <i/>
        <sz val="10"/>
        <rFont val="Times New Roman"/>
        <family val="1"/>
        <charset val="186"/>
      </rPr>
      <t>Sail Training International – STI</t>
    </r>
    <r>
      <rPr>
        <sz val="10"/>
        <rFont val="Times New Roman"/>
        <family val="1"/>
        <charset val="186"/>
      </rPr>
      <t>)</t>
    </r>
  </si>
  <si>
    <t>Valstybės deleguotų funkcijų vykdymas: žemės ūkio priemonių vykdymas</t>
  </si>
  <si>
    <t>Įsigyta finansų valdymo ir apskaitos informacinės sistemos „Biudžetas VS“ priežiūros paslauga, vnt.</t>
  </si>
  <si>
    <t>Siūlomas keisti 2019-ųjų metų asignavimų planas</t>
  </si>
  <si>
    <t>Siūlomas keisti 2020-ųjų metų  lėšų projektas</t>
  </si>
  <si>
    <t>Siūlomas keisti 2021-ųjų metų  lėšų projektas</t>
  </si>
  <si>
    <t>TIKSLŲ, UŽDAVINIŲ, PRIEMONIŲ, PRIEMONIŲ IŠLAIDŲ IR PRODUKTO KRITERIJŲ SUVESTINĖ</t>
  </si>
  <si>
    <t>Siūlomas keisti 2019 metų  asignavimų planas</t>
  </si>
  <si>
    <t>Įsigyta inventoriaus, vnt.</t>
  </si>
  <si>
    <t>Organizuotas tarptautinis renginys – „Globali Klaipėda“ piliečių dialogas, vnt.</t>
  </si>
  <si>
    <t>Įrengta diskusijų sistema posėdžių salėje Danės g. 17, vnt.</t>
  </si>
  <si>
    <t>Tarptautinio projekto su miestais partneriais (Karlskruna ir Gdyne) įgyvendinimas pagal Švedijos instituto programą</t>
  </si>
  <si>
    <t>2022-ieji metai</t>
  </si>
  <si>
    <t>2020-ųjų metų asignavimų planas</t>
  </si>
  <si>
    <t>2022-ųjų metų lėšų projektas</t>
  </si>
  <si>
    <r>
      <t xml:space="preserve">2019–2022 M. KLAIPĖDOS MIESTO SAVIVALDYBĖS </t>
    </r>
    <r>
      <rPr>
        <b/>
        <sz val="11"/>
        <rFont val="Times New Roman"/>
        <family val="1"/>
        <charset val="186"/>
      </rPr>
      <t xml:space="preserve">            </t>
    </r>
  </si>
  <si>
    <t>Vykdant rinkimų aptarnavimo funkciją, buvo sutaupyta lėšų, siūloma jas panaudoti kitoms programos priemonėms vykdyti</t>
  </si>
  <si>
    <t>Vykdant seniūnaičių sudarymo ir aptarnavimo funkciją, lieka nepanaudota lėšų. Buvo planuotos išmokos 55 seniūnaičiams, tačiau iš 55 seniūnaitijų tik 27 turi savo seniūnaičius. Lėšas siūloma panaudoti kitoms programos priemonėms vykdyti</t>
  </si>
  <si>
    <r>
      <rPr>
        <strike/>
        <sz val="10"/>
        <color rgb="FFFF0000"/>
        <rFont val="Times New Roman"/>
        <family val="1"/>
        <charset val="186"/>
      </rPr>
      <t xml:space="preserve">55  </t>
    </r>
    <r>
      <rPr>
        <sz val="10"/>
        <color rgb="FFFF0000"/>
        <rFont val="Times New Roman"/>
        <family val="1"/>
        <charset val="186"/>
      </rPr>
      <t>27</t>
    </r>
  </si>
  <si>
    <r>
      <rPr>
        <strike/>
        <sz val="10"/>
        <color rgb="FFFF0000"/>
        <rFont val="Times New Roman"/>
        <family val="1"/>
        <charset val="186"/>
      </rPr>
      <t xml:space="preserve">75 </t>
    </r>
    <r>
      <rPr>
        <sz val="10"/>
        <color rgb="FFFF0000"/>
        <rFont val="Times New Roman"/>
        <family val="1"/>
        <charset val="186"/>
      </rPr>
      <t xml:space="preserve">  58</t>
    </r>
  </si>
  <si>
    <r>
      <t xml:space="preserve">Įsigyta inventoriaus (2019 m. – </t>
    </r>
    <r>
      <rPr>
        <strike/>
        <sz val="10"/>
        <rFont val="Times New Roman"/>
        <family val="1"/>
        <charset val="186"/>
      </rPr>
      <t>23</t>
    </r>
    <r>
      <rPr>
        <sz val="10"/>
        <rFont val="Times New Roman"/>
        <family val="1"/>
        <charset val="186"/>
      </rPr>
      <t xml:space="preserve">  30 vnt. kabinų, </t>
    </r>
    <r>
      <rPr>
        <strike/>
        <sz val="10"/>
        <rFont val="Times New Roman"/>
        <family val="1"/>
        <charset val="186"/>
      </rPr>
      <t>2</t>
    </r>
    <r>
      <rPr>
        <sz val="10"/>
        <rFont val="Times New Roman"/>
        <family val="1"/>
        <charset val="186"/>
      </rPr>
      <t>10 vnt. balsadėžių, 14 vnt. nedegių spintų, 11 nuovažų neįgaliesiems), vnt.</t>
    </r>
  </si>
  <si>
    <t>Liks nepanaudotos lėšos dėl vyraujančių žemų palūkanų finansų rinkoje.  Lėšas siūloma panaudoti kitoms programos priemonėms vykdyti</t>
  </si>
  <si>
    <t>Lieka sutaupyta lėšų, nes darbai atlikti už mažesnę kainą nei planuota</t>
  </si>
  <si>
    <t xml:space="preserve">Vadovaujantis LR įstatymo (1995-03-28 Nr. 1-833) "Dėl Lietuvos savivaldybių asociacijos pagrindinių nuostatų" 8 str. ir Lietuvos savivaldybių asociacijos nario mokesčio sumažinimo" 1 punktu, mokėjimas už narystę Lietuvos savivaldybių asociacijoje apskaičiuojamas 0,03 procento nuo patvirtinto savivaldybės biudžeto išlaidų. Klaipėdos miesto savivaldybės 2019 m. patvirtintas biudžetas yra 183555,4 tūkst. Eur, kur metinis mokestis 0,03 proc. sudaro 55 068 Eur. </t>
  </si>
  <si>
    <t>Išnuomota autotransporto (elektromobilių) priemonių, vnt.</t>
  </si>
  <si>
    <t>1/31</t>
  </si>
  <si>
    <t>Suorganizuoti rinkimai, vnt.</t>
  </si>
  <si>
    <t>140 /30</t>
  </si>
  <si>
    <t>100 /25</t>
  </si>
  <si>
    <t>Apmokyta darbuotojų ir  mokymų programų skaičius</t>
  </si>
  <si>
    <t>200/ 40</t>
  </si>
  <si>
    <t>Eksploatuojama akustinių sirenų, vnt.</t>
  </si>
  <si>
    <t>15</t>
  </si>
  <si>
    <t xml:space="preserve">Atlikta pastato (Liepojos g. 10A) namo cokolio ir fasado remonto darbų. Užbaigtumas, proc. </t>
  </si>
  <si>
    <t xml:space="preserve">Atlikta pastato (Tiltų g. 19) šildymo sistemos atnaujinimo remonto darbų. Užbaigtumas, proc. </t>
  </si>
  <si>
    <t xml:space="preserve">Atlikta pastato (Janonio g. 9) lietaus nuvedimo sistemos, fasadinių sienų tinko remonto darbų. Užbaigtumas, proc. </t>
  </si>
  <si>
    <t xml:space="preserve">Atlikta pastato (I. Kanto g. 11) stogo remonto darbų. Užbaigtumas, proc. </t>
  </si>
  <si>
    <t xml:space="preserve">Atlikta pastato (H. Manto g. 51) Stogo, lietaus nuvedimo sistemos remontas. Karšto, šalto vandens paskirstomojo vamzdyno remontas  darbų. Užbaigtumas, proc. </t>
  </si>
  <si>
    <t>Atlikta pastato (Žvejų g. 5) vamzdynų remonto darbų. Užbaigtumas, proc.</t>
  </si>
  <si>
    <t>Civilinės saugos funkcijos užtikrinimas</t>
  </si>
  <si>
    <t>600</t>
  </si>
  <si>
    <t xml:space="preserve">Įsigyta sulankstomų lovų (300 vnt.) ir miegmaišių (300 vnt.), vnt. </t>
  </si>
  <si>
    <t>Atlikta techninio projekto korektūra, vnt.</t>
  </si>
  <si>
    <t>Išleista leidinių, egz.</t>
  </si>
  <si>
    <t>1062</t>
  </si>
  <si>
    <t>Įrengta adresinė gaisro sistema, vnt.</t>
  </si>
  <si>
    <t>Įrengta vaizdo sistema, vnt.</t>
  </si>
  <si>
    <t>Atnaujinta koridorių šviestuvų Liepų g.11. Užbaigtumas, proc.</t>
  </si>
  <si>
    <t>Įrengta apsaugos sistema, vnt.</t>
  </si>
  <si>
    <t>Įrengta oro kondicionierių Danės g. 17. Užbaigtumas, proc.</t>
  </si>
  <si>
    <t xml:space="preserve">Įrengta dviračių saugykla kieme iš Vytauto g., vnt.  </t>
  </si>
  <si>
    <t>P1</t>
  </si>
  <si>
    <t>P6, P1</t>
  </si>
  <si>
    <t>0</t>
  </si>
  <si>
    <t xml:space="preserve">Įgyvendintas civilinės saugos funkcijos užtikrinimo rinkodaros priemonių paketas, vnt. </t>
  </si>
  <si>
    <t xml:space="preserve">Atlikta pastato (Danės g. 7) namo modernizacijos remonto darbų. Užbaigtumas, proc. </t>
  </si>
  <si>
    <t>2019-ųjų metų asignavimų planas*</t>
  </si>
  <si>
    <t xml:space="preserve">P3.4.3.5   </t>
  </si>
  <si>
    <t>P1, P6</t>
  </si>
  <si>
    <t>Parengta koncepcija ir metodika, vnt.</t>
  </si>
  <si>
    <t>Įgyvendinama projektų, vnt.</t>
  </si>
  <si>
    <t>Dalyvaujamojo biudžeto koncepcijos ir metodikos parengimas bei įgyvendinimas</t>
  </si>
  <si>
    <t>Išpirkta gyvenamųjų ir negyvenamųjų patalpų,  vnt.</t>
  </si>
  <si>
    <t>12</t>
  </si>
  <si>
    <t>Savivaldybės turto ir įmonių valdymo efektyvinimo koncepcijos ir priemonių plano parengimas ir įgyvendinimas</t>
  </si>
  <si>
    <t>(Įgyvendinimas iki 2023 m.)</t>
  </si>
  <si>
    <t>Įsigyta finansų valdymo ir apskaitos informacinės sistemos tobulinimo paslauga, vnt.</t>
  </si>
  <si>
    <t>Nuotolinių gyventojų aptarnavimo centrų koncepcijos parengimas ir įgyvendinimas</t>
  </si>
  <si>
    <t>Parengta koncepcija, vnt.</t>
  </si>
  <si>
    <t>Atlikta remonto darbų (2020 m. stogo remontas). Užbaigtumas, proc.</t>
  </si>
  <si>
    <t>Klaipėdos miesto savivaldybės administracijos perkėlimas į naujas patalpas</t>
  </si>
  <si>
    <t xml:space="preserve">Socialinės infrastruktūros skyriaus </t>
  </si>
  <si>
    <t>Turto skyrius</t>
  </si>
  <si>
    <t>Apskaitos skyrius</t>
  </si>
  <si>
    <t>Mokesčių skyrius</t>
  </si>
  <si>
    <t>Apskaitos sk.</t>
  </si>
  <si>
    <t>Tarptautinių ryšių, verslo plėtros ir turizmo skyrius</t>
  </si>
  <si>
    <t>Finansų skyrius</t>
  </si>
  <si>
    <t xml:space="preserve"> Turto skyrius</t>
  </si>
  <si>
    <t>Statybos leidimų ir statinių priežiūros sk.</t>
  </si>
  <si>
    <t>Išmokėta kompensacijų dėl administracijos struktūros pasikeitimų, vnt.</t>
  </si>
  <si>
    <t>Mokyklų budėtojų etatų skaičius</t>
  </si>
  <si>
    <r>
      <t xml:space="preserve">2020–2022 M. KLAIPĖDOS MIESTO SAVIVALDYBĖS </t>
    </r>
    <r>
      <rPr>
        <b/>
        <sz val="11"/>
        <rFont val="Times New Roman"/>
        <family val="1"/>
        <charset val="186"/>
      </rPr>
      <t xml:space="preserve">            </t>
    </r>
  </si>
  <si>
    <t>P</t>
  </si>
  <si>
    <t>Seniūnaičių mokymai ir išmokų seniūnaičiams mokėjimas</t>
  </si>
  <si>
    <t xml:space="preserve">Įstaigų, kuriose įdiegta personalo valdymo informacinė sistema (savivaldybės administracija ir 116 biudžetinė įstaiga), skaičius
</t>
  </si>
  <si>
    <t xml:space="preserve">Įstaigų, kuriose įdiegta personalo valdymo informacinė sistema, skaičius
</t>
  </si>
  <si>
    <t>Seniūnaičių, atstovaujančių miestui, skaičius</t>
  </si>
  <si>
    <t>Įsigytas civilinės atsakomybės draudimas (Administracinių nusižengimų kodekso ginčams nagrinėti), vnt.</t>
  </si>
  <si>
    <t>Tarptautinio bendradarbiavimo vystymas, atstovaujant Klaipėdos miestui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Tall Ships Races Europe Ltd. (Sail Training International – STI)</t>
  </si>
  <si>
    <t>Tarptautinio bendradarbiavimo vystymas, atstovaujant Klaipėdos miestui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Tall Ships Races Europe Ltd. (Sail Training International – STI))</t>
  </si>
  <si>
    <t>Išversta į užsienio kalbas savivaldybės teikiamų elektroninių paslaugų formų (pranešimų) ir jų paskelbta savivaldybės interneto svetainėje, vnt.</t>
  </si>
  <si>
    <t>Parengta koncepcija ir priemonių planas, vnt.</t>
  </si>
  <si>
    <t xml:space="preserve">Patobulinta priėmimo į savivaldybės bendrojo ir ikimokyklinio ugdymo įstaigas informacinių sistemų, skaičius </t>
  </si>
  <si>
    <t xml:space="preserve">Klaipėdiečio kortelės koncepcijos sukūrimas ir sistemos įdiegimas </t>
  </si>
  <si>
    <t>Sukurta  Klaipėdiečio kortelės koncepcija ir įdiegta sistema</t>
  </si>
  <si>
    <t>Išplatinta klaipėdiečio kortelė, tūkst. vnt.</t>
  </si>
  <si>
    <t>Sukurta  Klaipėdiečio kortelės koncepcija ir įdiegta sistema, vnt.</t>
  </si>
  <si>
    <t>Tobulinti Savivaldybės administracijos veiklos valdymą:</t>
  </si>
  <si>
    <t xml:space="preserve">Pastato S. Šimkaus g. 11 remontas </t>
  </si>
  <si>
    <t>__________________________________________</t>
  </si>
  <si>
    <t>*Pagal Klaipėdos miesto savivaldybės tarybos 2019-10-24 sprendimą Nr. T2-293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</si>
</sst>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6">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b/>
      <sz val="10"/>
      <color theme="1"/>
      <name val="Times New Roman"/>
      <family val="1"/>
      <charset val="186"/>
    </font>
    <font>
      <sz val="10"/>
      <color theme="3"/>
      <name val="Times New Roman"/>
      <family val="1"/>
      <charset val="186"/>
    </font>
    <font>
      <sz val="12"/>
      <name val="Times New Roman"/>
      <family val="1"/>
      <charset val="186"/>
    </font>
    <font>
      <sz val="10"/>
      <color theme="4" tint="-0.249977111117893"/>
      <name val="Times New Roman"/>
      <family val="1"/>
      <charset val="186"/>
    </font>
    <font>
      <sz val="9"/>
      <color theme="4" tint="-0.249977111117893"/>
      <name val="Times New Roman"/>
      <family val="1"/>
      <charset val="186"/>
    </font>
    <font>
      <i/>
      <sz val="9"/>
      <name val="Times New Roman"/>
      <family val="1"/>
      <charset val="186"/>
    </font>
    <font>
      <b/>
      <i/>
      <sz val="10"/>
      <name val="Times New Roman"/>
      <family val="1"/>
      <charset val="186"/>
    </font>
    <font>
      <sz val="10"/>
      <color theme="4" tint="-0.499984740745262"/>
      <name val="Times New Roman"/>
      <family val="1"/>
      <charset val="186"/>
    </font>
    <font>
      <b/>
      <sz val="10"/>
      <color rgb="FFFF0000"/>
      <name val="Times New Roman"/>
      <family val="1"/>
      <charset val="186"/>
    </font>
    <font>
      <strike/>
      <sz val="10"/>
      <name val="Times New Roman"/>
      <family val="1"/>
      <charset val="186"/>
    </font>
    <font>
      <strike/>
      <sz val="10"/>
      <color rgb="FFFF0000"/>
      <name val="Times New Roman"/>
      <family val="1"/>
      <charset val="186"/>
    </font>
    <font>
      <i/>
      <sz val="11"/>
      <name val="Calibri"/>
      <family val="2"/>
      <charset val="186"/>
      <scheme val="minor"/>
    </font>
    <font>
      <b/>
      <i/>
      <sz val="9"/>
      <name val="Times New Roman"/>
      <family val="1"/>
      <charset val="186"/>
    </font>
    <font>
      <b/>
      <sz val="8"/>
      <name val="Times New Roman"/>
      <family val="1"/>
      <charset val="186"/>
    </font>
    <font>
      <i/>
      <sz val="10"/>
      <name val="Times New Roman"/>
      <family val="1"/>
    </font>
    <font>
      <b/>
      <i/>
      <sz val="8"/>
      <name val="Times New Roman"/>
      <family val="1"/>
      <charset val="186"/>
    </font>
    <font>
      <i/>
      <sz val="9"/>
      <name val="Times New Roman"/>
      <family val="1"/>
    </font>
    <font>
      <i/>
      <sz val="9"/>
      <color rgb="FFFF0000"/>
      <name val="Times New Roman"/>
      <family val="1"/>
      <charset val="186"/>
    </font>
    <font>
      <i/>
      <sz val="8"/>
      <name val="Times New Roman"/>
      <family val="1"/>
    </font>
    <font>
      <sz val="11"/>
      <color rgb="FFFF0000"/>
      <name val="Calibri"/>
      <family val="2"/>
      <charset val="186"/>
      <scheme val="minor"/>
    </font>
    <font>
      <sz val="11"/>
      <color rgb="FF1F497D"/>
      <name val="Calibri"/>
      <family val="2"/>
      <charset val="186"/>
      <scheme val="minor"/>
    </font>
  </fonts>
  <fills count="13">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CC"/>
        <bgColor indexed="64"/>
      </patternFill>
    </fill>
    <fill>
      <patternFill patternType="solid">
        <fgColor rgb="FF92D050"/>
        <bgColor indexed="64"/>
      </patternFill>
    </fill>
  </fills>
  <borders count="12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medium">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
      <left/>
      <right/>
      <top style="hair">
        <color indexed="64"/>
      </top>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s>
  <cellStyleXfs count="6">
    <xf numFmtId="0" fontId="0" fillId="0" borderId="0"/>
    <xf numFmtId="164" fontId="1" fillId="0" borderId="0" applyFont="0" applyFill="0" applyBorder="0" applyAlignment="0" applyProtection="0"/>
    <xf numFmtId="0" fontId="11" fillId="0" borderId="0"/>
    <xf numFmtId="0" fontId="15" fillId="0" borderId="0"/>
    <xf numFmtId="0" fontId="11" fillId="0" borderId="0"/>
    <xf numFmtId="0" fontId="11" fillId="0" borderId="0"/>
  </cellStyleXfs>
  <cellXfs count="1791">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8"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3" fontId="6" fillId="4" borderId="24" xfId="0" applyNumberFormat="1" applyFont="1" applyFill="1" applyBorder="1" applyAlignment="1">
      <alignment horizontal="center" vertical="top"/>
    </xf>
    <xf numFmtId="3" fontId="6" fillId="5" borderId="66" xfId="0" applyNumberFormat="1" applyFont="1" applyFill="1" applyBorder="1" applyAlignment="1">
      <alignment horizontal="center" vertical="top"/>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0" xfId="0" applyNumberFormat="1" applyFont="1" applyFill="1" applyBorder="1" applyAlignment="1">
      <alignment horizontal="right" vertical="top"/>
    </xf>
    <xf numFmtId="3" fontId="6" fillId="5" borderId="66"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0" xfId="0" applyNumberFormat="1" applyFont="1" applyFill="1" applyBorder="1" applyAlignment="1">
      <alignment vertical="top"/>
    </xf>
    <xf numFmtId="3" fontId="6" fillId="9" borderId="65" xfId="0" applyNumberFormat="1" applyFont="1" applyFill="1" applyBorder="1" applyAlignment="1">
      <alignment horizontal="center" vertical="top"/>
    </xf>
    <xf numFmtId="0" fontId="9" fillId="0" borderId="0" xfId="0" applyFont="1" applyBorder="1" applyAlignment="1">
      <alignment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0"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4" fillId="6" borderId="69"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5" xfId="0" applyFont="1" applyFill="1" applyBorder="1" applyAlignment="1">
      <alignment horizontal="center" vertical="top"/>
    </xf>
    <xf numFmtId="3" fontId="6" fillId="6" borderId="64" xfId="0" applyNumberFormat="1" applyFont="1" applyFill="1" applyBorder="1" applyAlignment="1">
      <alignment vertical="top" wrapText="1"/>
    </xf>
    <xf numFmtId="3" fontId="4" fillId="6" borderId="63" xfId="0" applyNumberFormat="1" applyFont="1" applyFill="1" applyBorder="1" applyAlignment="1">
      <alignment horizontal="left" vertical="top" wrapText="1"/>
    </xf>
    <xf numFmtId="3" fontId="6" fillId="3" borderId="70"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3" xfId="0" applyNumberFormat="1" applyFont="1" applyFill="1" applyBorder="1" applyAlignment="1">
      <alignment vertical="top"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8" xfId="0" applyNumberFormat="1" applyFont="1" applyFill="1" applyBorder="1" applyAlignment="1">
      <alignment horizontal="center" vertical="top"/>
    </xf>
    <xf numFmtId="166" fontId="6" fillId="4" borderId="75" xfId="0" applyNumberFormat="1" applyFont="1" applyFill="1" applyBorder="1" applyAlignment="1">
      <alignment horizontal="center" vertical="top"/>
    </xf>
    <xf numFmtId="166" fontId="6" fillId="3" borderId="75" xfId="0" applyNumberFormat="1" applyFont="1" applyFill="1" applyBorder="1" applyAlignment="1">
      <alignment horizontal="center" vertical="top"/>
    </xf>
    <xf numFmtId="3" fontId="6" fillId="9" borderId="68"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3" fontId="4" fillId="6" borderId="55" xfId="0" applyNumberFormat="1" applyFont="1" applyFill="1" applyBorder="1" applyAlignment="1">
      <alignment vertical="top" wrapText="1"/>
    </xf>
    <xf numFmtId="0" fontId="16" fillId="0" borderId="60" xfId="0" applyFont="1" applyBorder="1" applyAlignment="1">
      <alignment vertical="top" wrapText="1"/>
    </xf>
    <xf numFmtId="3" fontId="4" fillId="0" borderId="60" xfId="0" applyNumberFormat="1" applyFont="1" applyBorder="1" applyAlignment="1">
      <alignment vertical="top" wrapText="1"/>
    </xf>
    <xf numFmtId="166" fontId="4" fillId="6" borderId="61"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6" fillId="9" borderId="26" xfId="0" applyNumberFormat="1" applyFont="1" applyFill="1" applyBorder="1" applyAlignment="1">
      <alignment horizontal="center" vertical="top"/>
    </xf>
    <xf numFmtId="166" fontId="4" fillId="8" borderId="61" xfId="0" applyNumberFormat="1" applyFont="1" applyFill="1" applyBorder="1" applyAlignment="1">
      <alignment horizontal="center" vertical="top"/>
    </xf>
    <xf numFmtId="166" fontId="6" fillId="9" borderId="65"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6" borderId="34"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0"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6" fillId="5" borderId="76"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5" xfId="0" applyNumberFormat="1" applyFont="1" applyFill="1" applyBorder="1" applyAlignment="1">
      <alignment horizontal="center" vertical="top"/>
    </xf>
    <xf numFmtId="166" fontId="6" fillId="3" borderId="61"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5"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166" fontId="4" fillId="6" borderId="61" xfId="0" applyNumberFormat="1" applyFont="1" applyFill="1" applyBorder="1" applyAlignment="1">
      <alignment vertical="top"/>
    </xf>
    <xf numFmtId="3" fontId="6" fillId="6" borderId="38"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14"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166" fontId="4" fillId="6" borderId="7" xfId="0" applyNumberFormat="1" applyFont="1" applyFill="1" applyBorder="1" applyAlignment="1">
      <alignment horizontal="center" vertical="top"/>
    </xf>
    <xf numFmtId="0" fontId="4" fillId="6" borderId="82" xfId="0" applyFont="1" applyFill="1" applyBorder="1" applyAlignment="1">
      <alignment horizontal="left"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81"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8" borderId="8" xfId="0" applyNumberFormat="1" applyFont="1" applyFill="1" applyBorder="1" applyAlignment="1">
      <alignment horizontal="center" vertical="top"/>
    </xf>
    <xf numFmtId="166" fontId="4" fillId="6" borderId="67" xfId="0" applyNumberFormat="1" applyFont="1" applyFill="1" applyBorder="1" applyAlignment="1">
      <alignment horizontal="center" vertical="top"/>
    </xf>
    <xf numFmtId="166" fontId="4" fillId="6" borderId="85"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5" xfId="0" applyNumberFormat="1" applyFont="1" applyFill="1" applyBorder="1" applyAlignment="1">
      <alignment horizontal="center" vertical="top"/>
    </xf>
    <xf numFmtId="166" fontId="4" fillId="6" borderId="6" xfId="0" applyNumberFormat="1" applyFont="1" applyFill="1" applyBorder="1" applyAlignment="1">
      <alignment horizontal="center" vertical="top"/>
    </xf>
    <xf numFmtId="166" fontId="4" fillId="0" borderId="85"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166" fontId="4" fillId="8" borderId="64"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0" borderId="11"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1"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0" borderId="58"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5" fillId="6" borderId="39"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11" xfId="0" applyNumberFormat="1" applyFont="1" applyFill="1" applyBorder="1" applyAlignment="1">
      <alignment horizontal="center" vertical="top" wrapText="1"/>
    </xf>
    <xf numFmtId="3" fontId="16" fillId="0" borderId="57" xfId="0" applyNumberFormat="1" applyFont="1" applyBorder="1" applyAlignment="1">
      <alignment horizontal="center" wrapText="1"/>
    </xf>
    <xf numFmtId="3" fontId="4" fillId="6" borderId="89"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6" borderId="40"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0" fontId="4" fillId="6" borderId="12"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5"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6" fillId="3" borderId="72" xfId="0" applyNumberFormat="1" applyFont="1" applyFill="1" applyBorder="1" applyAlignment="1">
      <alignment horizontal="center" vertical="top"/>
    </xf>
    <xf numFmtId="166" fontId="6" fillId="3" borderId="74" xfId="0" applyNumberFormat="1" applyFont="1" applyFill="1" applyBorder="1" applyAlignment="1">
      <alignment horizontal="center" vertical="top"/>
    </xf>
    <xf numFmtId="3" fontId="4" fillId="0" borderId="99"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01" xfId="0" applyNumberFormat="1" applyFont="1" applyBorder="1" applyAlignment="1">
      <alignment horizontal="center" vertical="top"/>
    </xf>
    <xf numFmtId="3" fontId="5" fillId="6" borderId="99"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0" fontId="4" fillId="6" borderId="99" xfId="0" applyNumberFormat="1" applyFont="1" applyFill="1" applyBorder="1" applyAlignment="1">
      <alignment horizontal="center" vertical="top"/>
    </xf>
    <xf numFmtId="3" fontId="4" fillId="0" borderId="102" xfId="0" applyNumberFormat="1" applyFont="1" applyBorder="1" applyAlignment="1">
      <alignment horizontal="center" vertical="top"/>
    </xf>
    <xf numFmtId="0" fontId="4" fillId="6" borderId="98" xfId="0" applyFont="1" applyFill="1" applyBorder="1" applyAlignment="1">
      <alignment horizontal="center" vertical="top"/>
    </xf>
    <xf numFmtId="0" fontId="4" fillId="0" borderId="92" xfId="0" applyFont="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87"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7"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99" xfId="0" applyNumberFormat="1" applyFont="1" applyBorder="1" applyAlignment="1">
      <alignment horizontal="center" wrapText="1"/>
    </xf>
    <xf numFmtId="3" fontId="4" fillId="6" borderId="104" xfId="0" applyNumberFormat="1" applyFont="1" applyFill="1" applyBorder="1" applyAlignment="1">
      <alignment horizontal="center" vertical="top"/>
    </xf>
    <xf numFmtId="0" fontId="4" fillId="6" borderId="101" xfId="0" applyFont="1" applyFill="1" applyBorder="1" applyAlignment="1">
      <alignment horizontal="center" vertical="top"/>
    </xf>
    <xf numFmtId="0" fontId="4" fillId="0" borderId="90" xfId="0" applyFont="1" applyBorder="1" applyAlignment="1">
      <alignment horizontal="center" vertical="top"/>
    </xf>
    <xf numFmtId="0" fontId="4" fillId="6" borderId="104" xfId="0" applyFont="1" applyFill="1" applyBorder="1" applyAlignment="1">
      <alignment horizontal="center" vertical="top"/>
    </xf>
    <xf numFmtId="0" fontId="4" fillId="0" borderId="91" xfId="0" applyFont="1" applyBorder="1" applyAlignment="1">
      <alignment horizontal="center" vertical="top"/>
    </xf>
    <xf numFmtId="0" fontId="4" fillId="6" borderId="43" xfId="0" applyFont="1" applyFill="1" applyBorder="1" applyAlignment="1">
      <alignment horizontal="left" vertical="top" wrapText="1"/>
    </xf>
    <xf numFmtId="0" fontId="4" fillId="6" borderId="88"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57"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0" fontId="4" fillId="0" borderId="93"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0" fontId="9" fillId="6" borderId="1" xfId="0" applyFont="1" applyFill="1" applyBorder="1" applyAlignment="1">
      <alignment vertical="top"/>
    </xf>
    <xf numFmtId="3" fontId="4" fillId="6" borderId="32" xfId="0" applyNumberFormat="1" applyFont="1" applyFill="1" applyBorder="1" applyAlignment="1">
      <alignment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08"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3" fontId="6" fillId="6" borderId="66" xfId="0" applyNumberFormat="1" applyFont="1" applyFill="1" applyBorder="1" applyAlignment="1">
      <alignment horizontal="center" vertical="top"/>
    </xf>
    <xf numFmtId="3" fontId="6" fillId="9" borderId="65" xfId="0" applyNumberFormat="1" applyFont="1" applyFill="1" applyBorder="1" applyAlignment="1">
      <alignment horizontal="center" vertical="top" wrapText="1"/>
    </xf>
    <xf numFmtId="166" fontId="4" fillId="0" borderId="0" xfId="0" applyNumberFormat="1" applyFont="1" applyAlignment="1">
      <alignment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6" xfId="0" applyNumberFormat="1" applyFont="1" applyFill="1" applyBorder="1" applyAlignment="1">
      <alignment vertical="top"/>
    </xf>
    <xf numFmtId="49" fontId="6" fillId="5" borderId="71" xfId="0" applyNumberFormat="1" applyFont="1" applyFill="1" applyBorder="1" applyAlignment="1">
      <alignment horizontal="center" vertical="top"/>
    </xf>
    <xf numFmtId="166" fontId="5" fillId="6" borderId="85" xfId="0" applyNumberFormat="1" applyFont="1" applyFill="1" applyBorder="1" applyAlignment="1">
      <alignment horizontal="center" vertical="top"/>
    </xf>
    <xf numFmtId="3" fontId="4" fillId="0" borderId="63" xfId="0" applyNumberFormat="1" applyFont="1" applyBorder="1" applyAlignment="1">
      <alignment vertical="top" wrapText="1"/>
    </xf>
    <xf numFmtId="0" fontId="4" fillId="6" borderId="40" xfId="0" applyFont="1" applyFill="1" applyBorder="1" applyAlignment="1">
      <alignment horizontal="center" vertical="top"/>
    </xf>
    <xf numFmtId="3" fontId="6" fillId="6" borderId="80"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6" fillId="6" borderId="23" xfId="0" applyNumberFormat="1" applyFont="1" applyFill="1" applyBorder="1" applyAlignment="1">
      <alignment horizontal="center" vertical="top"/>
    </xf>
    <xf numFmtId="0" fontId="4" fillId="6" borderId="0" xfId="0" applyFont="1" applyFill="1" applyBorder="1" applyAlignment="1">
      <alignment horizontal="center" vertical="top"/>
    </xf>
    <xf numFmtId="0" fontId="4" fillId="6" borderId="35" xfId="0" applyFont="1" applyFill="1" applyBorder="1" applyAlignment="1">
      <alignment vertical="top" wrapText="1"/>
    </xf>
    <xf numFmtId="3" fontId="4" fillId="6" borderId="7" xfId="0" applyNumberFormat="1" applyFont="1" applyFill="1" applyBorder="1" applyAlignment="1">
      <alignment horizontal="center" vertical="top"/>
    </xf>
    <xf numFmtId="3" fontId="4" fillId="7" borderId="72"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11" xfId="0" applyNumberFormat="1" applyFont="1" applyFill="1" applyBorder="1" applyAlignment="1">
      <alignment horizontal="center" vertical="top"/>
    </xf>
    <xf numFmtId="166" fontId="19" fillId="6" borderId="85"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0" borderId="0" xfId="0" applyFont="1" applyFill="1" applyAlignment="1">
      <alignment vertical="top"/>
    </xf>
    <xf numFmtId="0" fontId="4" fillId="6" borderId="41" xfId="0" applyFont="1" applyFill="1" applyBorder="1" applyAlignment="1">
      <alignment horizontal="center" vertical="top"/>
    </xf>
    <xf numFmtId="0" fontId="4" fillId="6" borderId="99" xfId="0" applyFont="1" applyFill="1" applyBorder="1" applyAlignment="1">
      <alignment horizontal="center" vertical="top"/>
    </xf>
    <xf numFmtId="0" fontId="4" fillId="6" borderId="18" xfId="0" applyFont="1" applyFill="1" applyBorder="1" applyAlignment="1">
      <alignment horizontal="center" vertical="top"/>
    </xf>
    <xf numFmtId="3" fontId="4" fillId="0" borderId="101"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105"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1"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0" fontId="4" fillId="10" borderId="13" xfId="0" applyFont="1" applyFill="1" applyBorder="1" applyAlignment="1">
      <alignment horizontal="center" vertical="top"/>
    </xf>
    <xf numFmtId="3" fontId="4" fillId="6" borderId="79"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4" fillId="0" borderId="84" xfId="0" applyNumberFormat="1" applyFont="1" applyBorder="1" applyAlignment="1">
      <alignment horizontal="center" vertical="top"/>
    </xf>
    <xf numFmtId="3" fontId="4" fillId="6" borderId="69"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6" fillId="5" borderId="69" xfId="0" applyNumberFormat="1" applyFont="1" applyFill="1" applyBorder="1" applyAlignment="1">
      <alignment horizontal="center" vertical="top"/>
    </xf>
    <xf numFmtId="3" fontId="7" fillId="0" borderId="30" xfId="0" applyNumberFormat="1" applyFont="1" applyFill="1" applyBorder="1" applyAlignment="1">
      <alignment horizontal="center" vertical="center" textRotation="90"/>
    </xf>
    <xf numFmtId="3" fontId="4" fillId="0" borderId="61" xfId="0" applyNumberFormat="1" applyFont="1" applyFill="1" applyBorder="1" applyAlignment="1">
      <alignment horizontal="center" vertical="top" wrapText="1"/>
    </xf>
    <xf numFmtId="3" fontId="6" fillId="5" borderId="60"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0" xfId="0" applyNumberFormat="1" applyFont="1" applyFill="1" applyBorder="1" applyAlignment="1">
      <alignment horizontal="center" vertical="top"/>
    </xf>
    <xf numFmtId="3" fontId="4" fillId="0" borderId="84"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8" xfId="0" applyNumberFormat="1" applyFont="1" applyFill="1" applyBorder="1" applyAlignment="1">
      <alignment horizontal="center" vertical="top"/>
    </xf>
    <xf numFmtId="3" fontId="4" fillId="0" borderId="102" xfId="0" applyNumberFormat="1" applyFont="1" applyFill="1" applyBorder="1" applyAlignment="1">
      <alignment horizontal="center" vertical="top"/>
    </xf>
    <xf numFmtId="0" fontId="4" fillId="0" borderId="14" xfId="0" applyFont="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7" borderId="103" xfId="0" applyNumberFormat="1" applyFont="1" applyFill="1" applyBorder="1" applyAlignment="1">
      <alignment vertical="top"/>
    </xf>
    <xf numFmtId="3" fontId="4" fillId="7" borderId="103" xfId="0" applyNumberFormat="1" applyFont="1" applyFill="1" applyBorder="1" applyAlignment="1">
      <alignment horizontal="center" vertical="top"/>
    </xf>
    <xf numFmtId="3" fontId="4" fillId="6" borderId="53" xfId="0" applyNumberFormat="1" applyFont="1" applyFill="1" applyBorder="1" applyAlignment="1">
      <alignment horizontal="center" vertical="top" wrapText="1"/>
    </xf>
    <xf numFmtId="166" fontId="11" fillId="9" borderId="103" xfId="0" applyNumberFormat="1" applyFont="1" applyFill="1" applyBorder="1" applyAlignment="1">
      <alignment vertical="top" wrapText="1"/>
    </xf>
    <xf numFmtId="166" fontId="7" fillId="9" borderId="103" xfId="0" applyNumberFormat="1" applyFont="1" applyFill="1" applyBorder="1" applyAlignment="1">
      <alignment horizontal="center" vertical="center" textRotation="90" wrapText="1"/>
    </xf>
    <xf numFmtId="166" fontId="6" fillId="9" borderId="103" xfId="0" applyNumberFormat="1" applyFont="1" applyFill="1" applyBorder="1" applyAlignment="1">
      <alignment horizontal="center" vertical="top"/>
    </xf>
    <xf numFmtId="166" fontId="22" fillId="9" borderId="68" xfId="0" applyNumberFormat="1" applyFont="1" applyFill="1" applyBorder="1" applyAlignment="1">
      <alignment horizontal="left" vertical="top" wrapText="1"/>
    </xf>
    <xf numFmtId="3" fontId="4" fillId="9" borderId="103" xfId="0" applyNumberFormat="1" applyFont="1" applyFill="1" applyBorder="1" applyAlignment="1">
      <alignment horizontal="center" vertical="top"/>
    </xf>
    <xf numFmtId="3" fontId="5" fillId="9" borderId="103" xfId="0" applyNumberFormat="1" applyFont="1" applyFill="1" applyBorder="1" applyAlignment="1">
      <alignment horizontal="center" vertical="top" wrapText="1"/>
    </xf>
    <xf numFmtId="3" fontId="5" fillId="9" borderId="87"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69" xfId="0" applyNumberFormat="1" applyFont="1" applyFill="1" applyBorder="1" applyAlignment="1">
      <alignment horizontal="center" vertical="top"/>
    </xf>
    <xf numFmtId="3" fontId="6" fillId="9" borderId="66"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36"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6"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0" fontId="4" fillId="6" borderId="91"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3" fontId="5" fillId="6" borderId="80" xfId="0" applyNumberFormat="1" applyFont="1" applyFill="1" applyBorder="1" applyAlignment="1">
      <alignment horizontal="center" vertical="center" textRotation="90" wrapText="1"/>
    </xf>
    <xf numFmtId="0" fontId="4" fillId="0" borderId="56" xfId="0" applyFont="1" applyBorder="1" applyAlignment="1">
      <alignment vertical="top" wrapText="1"/>
    </xf>
    <xf numFmtId="0" fontId="4" fillId="10" borderId="57" xfId="0" applyFont="1" applyFill="1" applyBorder="1" applyAlignment="1">
      <alignment horizontal="center" vertical="center"/>
    </xf>
    <xf numFmtId="0" fontId="4" fillId="10" borderId="99" xfId="0" applyFont="1" applyFill="1" applyBorder="1" applyAlignment="1">
      <alignment horizontal="center" vertical="center"/>
    </xf>
    <xf numFmtId="0" fontId="4" fillId="10" borderId="96" xfId="0" applyFont="1" applyFill="1" applyBorder="1" applyAlignment="1">
      <alignment horizontal="center" vertical="center"/>
    </xf>
    <xf numFmtId="0" fontId="4" fillId="10" borderId="98" xfId="0" applyFont="1" applyFill="1" applyBorder="1" applyAlignment="1">
      <alignment horizontal="center" vertical="center"/>
    </xf>
    <xf numFmtId="3" fontId="4" fillId="6" borderId="61" xfId="1" applyNumberFormat="1" applyFont="1" applyFill="1" applyBorder="1" applyAlignment="1">
      <alignment horizontal="center" vertical="top" wrapText="1"/>
    </xf>
    <xf numFmtId="0" fontId="4" fillId="6" borderId="105"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43" xfId="0" applyNumberFormat="1" applyFont="1" applyFill="1" applyBorder="1" applyAlignment="1">
      <alignment horizontal="left" vertical="top" wrapText="1"/>
    </xf>
    <xf numFmtId="0" fontId="4" fillId="6" borderId="41" xfId="0" applyFont="1" applyFill="1" applyBorder="1" applyAlignment="1">
      <alignment vertical="center" wrapText="1"/>
    </xf>
    <xf numFmtId="0" fontId="4" fillId="6" borderId="0" xfId="0" applyFont="1" applyFill="1" applyBorder="1" applyAlignment="1">
      <alignment vertical="center"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90"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3" xfId="0" applyNumberFormat="1" applyFont="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3" fontId="4" fillId="0" borderId="96"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0" fontId="4" fillId="6" borderId="90" xfId="0" applyNumberFormat="1" applyFont="1" applyFill="1" applyBorder="1" applyAlignment="1">
      <alignment horizontal="center" vertical="top"/>
    </xf>
    <xf numFmtId="0" fontId="19" fillId="6" borderId="104" xfId="0" applyNumberFormat="1" applyFont="1" applyFill="1" applyBorder="1" applyAlignment="1">
      <alignment horizontal="center" vertical="top"/>
    </xf>
    <xf numFmtId="0" fontId="19" fillId="6" borderId="105" xfId="0" applyNumberFormat="1" applyFont="1" applyFill="1" applyBorder="1" applyAlignment="1">
      <alignment horizontal="center" vertical="top"/>
    </xf>
    <xf numFmtId="3" fontId="4" fillId="0" borderId="85" xfId="0" applyNumberFormat="1" applyFont="1" applyFill="1" applyBorder="1" applyAlignment="1">
      <alignment horizontal="left" vertical="top" wrapText="1"/>
    </xf>
    <xf numFmtId="3" fontId="6" fillId="6" borderId="57" xfId="0" applyNumberFormat="1" applyFont="1" applyFill="1" applyBorder="1" applyAlignment="1">
      <alignment horizontal="center" vertical="top"/>
    </xf>
    <xf numFmtId="0" fontId="4" fillId="6" borderId="32" xfId="0" applyFont="1" applyFill="1" applyBorder="1" applyAlignment="1">
      <alignment vertical="top" wrapText="1"/>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0" xfId="0" applyNumberFormat="1" applyFont="1" applyFill="1" applyBorder="1" applyAlignment="1">
      <alignment horizontal="center" vertical="top"/>
    </xf>
    <xf numFmtId="3" fontId="4" fillId="6" borderId="58"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16" fillId="6" borderId="0" xfId="0" applyFont="1" applyFill="1"/>
    <xf numFmtId="0" fontId="2" fillId="6" borderId="0" xfId="0" applyFont="1" applyFill="1" applyAlignment="1">
      <alignment horizontal="center" vertical="top" wrapText="1"/>
    </xf>
    <xf numFmtId="3" fontId="6" fillId="6" borderId="69" xfId="0" applyNumberFormat="1" applyFont="1" applyFill="1" applyBorder="1" applyAlignment="1">
      <alignment horizontal="center" vertical="top"/>
    </xf>
    <xf numFmtId="3" fontId="6" fillId="6" borderId="0"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8" xfId="0" applyNumberFormat="1" applyFont="1" applyFill="1" applyBorder="1" applyAlignment="1">
      <alignment horizontal="center" vertical="top" wrapText="1"/>
    </xf>
    <xf numFmtId="3" fontId="9" fillId="6" borderId="12" xfId="0" applyNumberFormat="1" applyFont="1" applyFill="1" applyBorder="1" applyAlignment="1">
      <alignment horizontal="center" vertical="top" textRotation="90" wrapText="1"/>
    </xf>
    <xf numFmtId="49" fontId="5" fillId="0" borderId="96" xfId="0" applyNumberFormat="1" applyFont="1" applyBorder="1" applyAlignment="1">
      <alignment horizontal="center" vertical="top" wrapText="1"/>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19" fillId="6" borderId="0" xfId="0" applyNumberFormat="1" applyFont="1" applyFill="1" applyBorder="1" applyAlignment="1">
      <alignment horizontal="center" vertical="top"/>
    </xf>
    <xf numFmtId="0" fontId="9" fillId="6" borderId="22" xfId="0" applyFont="1" applyFill="1" applyBorder="1" applyAlignment="1">
      <alignment vertical="top"/>
    </xf>
    <xf numFmtId="0" fontId="4" fillId="10" borderId="33" xfId="0" applyFont="1" applyFill="1" applyBorder="1" applyAlignment="1">
      <alignment horizontal="center" vertical="center"/>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5" xfId="0" applyNumberFormat="1" applyFont="1" applyFill="1" applyBorder="1" applyAlignment="1">
      <alignment horizontal="center" vertical="top"/>
    </xf>
    <xf numFmtId="49" fontId="5" fillId="6" borderId="57" xfId="0" applyNumberFormat="1" applyFont="1" applyFill="1" applyBorder="1" applyAlignment="1">
      <alignment horizontal="center" vertical="center" textRotation="90" wrapText="1"/>
    </xf>
    <xf numFmtId="0" fontId="4" fillId="6" borderId="66" xfId="0" applyFont="1" applyFill="1" applyBorder="1" applyAlignment="1">
      <alignment horizontal="left" vertical="top" wrapText="1"/>
    </xf>
    <xf numFmtId="0" fontId="4" fillId="6" borderId="49" xfId="0"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49" fontId="4" fillId="6" borderId="18" xfId="0" applyNumberFormat="1" applyFont="1" applyFill="1" applyBorder="1" applyAlignment="1">
      <alignment horizontal="center" vertical="top"/>
    </xf>
    <xf numFmtId="49"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166" fontId="6" fillId="9" borderId="20" xfId="0" applyNumberFormat="1" applyFont="1" applyFill="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166" fontId="4" fillId="9" borderId="20" xfId="0" applyNumberFormat="1" applyFont="1" applyFill="1" applyBorder="1" applyAlignment="1">
      <alignment horizontal="center" vertical="top" wrapText="1"/>
    </xf>
    <xf numFmtId="3" fontId="4" fillId="6" borderId="66"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0" fontId="4" fillId="0" borderId="81" xfId="0" applyFont="1" applyBorder="1" applyAlignment="1">
      <alignment horizontal="center" vertical="center" textRotation="90" wrapText="1"/>
    </xf>
    <xf numFmtId="49" fontId="5" fillId="0" borderId="92" xfId="0" applyNumberFormat="1" applyFont="1" applyBorder="1" applyAlignment="1">
      <alignment horizontal="center" vertical="top" wrapText="1"/>
    </xf>
    <xf numFmtId="3" fontId="4" fillId="7" borderId="73" xfId="0" applyNumberFormat="1" applyFont="1" applyFill="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27"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166" fontId="6" fillId="5" borderId="24" xfId="0" applyNumberFormat="1" applyFont="1" applyFill="1" applyBorder="1" applyAlignment="1">
      <alignment horizontal="center" vertical="top"/>
    </xf>
    <xf numFmtId="166" fontId="6" fillId="9" borderId="25"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5" xfId="0" applyNumberFormat="1" applyFont="1" applyBorder="1" applyAlignment="1">
      <alignment horizontal="center" vertical="top"/>
    </xf>
    <xf numFmtId="3" fontId="10" fillId="0" borderId="33"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4" borderId="74" xfId="0" applyNumberFormat="1" applyFont="1" applyFill="1" applyBorder="1" applyAlignment="1">
      <alignment horizontal="center" vertical="top"/>
    </xf>
    <xf numFmtId="166" fontId="6" fillId="4" borderId="76" xfId="0" applyNumberFormat="1" applyFont="1" applyFill="1" applyBorder="1" applyAlignment="1">
      <alignment horizontal="center" vertical="top"/>
    </xf>
    <xf numFmtId="0" fontId="20" fillId="0" borderId="7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8"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4"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3" fontId="6" fillId="9" borderId="68" xfId="0" applyNumberFormat="1" applyFont="1" applyFill="1" applyBorder="1" applyAlignment="1">
      <alignment horizontal="right" vertical="top" wrapText="1"/>
    </xf>
    <xf numFmtId="166" fontId="6" fillId="4" borderId="72"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5" fillId="6" borderId="58"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6" fillId="9" borderId="68" xfId="0" applyNumberFormat="1" applyFont="1" applyFill="1" applyBorder="1" applyAlignment="1">
      <alignment horizontal="center" vertical="top"/>
    </xf>
    <xf numFmtId="3" fontId="4" fillId="6" borderId="55" xfId="0" applyNumberFormat="1" applyFont="1" applyFill="1" applyBorder="1" applyAlignment="1">
      <alignment horizontal="left" vertical="top" wrapText="1"/>
    </xf>
    <xf numFmtId="0" fontId="4" fillId="6" borderId="13" xfId="0" applyFont="1" applyFill="1" applyBorder="1" applyAlignment="1">
      <alignment horizontal="center" vertical="top"/>
    </xf>
    <xf numFmtId="3" fontId="6"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0" fontId="4" fillId="10" borderId="92" xfId="0" applyFont="1" applyFill="1" applyBorder="1" applyAlignment="1">
      <alignment horizontal="center" vertical="center"/>
    </xf>
    <xf numFmtId="0" fontId="4" fillId="10" borderId="58" xfId="0" applyFont="1" applyFill="1" applyBorder="1" applyAlignment="1">
      <alignment horizontal="center" vertical="center"/>
    </xf>
    <xf numFmtId="166" fontId="6" fillId="5" borderId="7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49" fontId="4" fillId="6" borderId="96" xfId="0" applyNumberFormat="1" applyFont="1" applyFill="1" applyBorder="1" applyAlignment="1">
      <alignment horizontal="center" vertical="top"/>
    </xf>
    <xf numFmtId="49" fontId="4" fillId="6" borderId="79" xfId="0" applyNumberFormat="1" applyFont="1" applyFill="1" applyBorder="1" applyAlignment="1">
      <alignment horizontal="center" vertical="top"/>
    </xf>
    <xf numFmtId="49" fontId="4" fillId="6" borderId="98" xfId="0" applyNumberFormat="1" applyFont="1" applyFill="1" applyBorder="1" applyAlignment="1">
      <alignment horizontal="center" vertical="top"/>
    </xf>
    <xf numFmtId="166" fontId="5" fillId="6" borderId="3" xfId="0" applyNumberFormat="1" applyFont="1" applyFill="1" applyBorder="1" applyAlignment="1">
      <alignment horizontal="center" vertical="top"/>
    </xf>
    <xf numFmtId="0" fontId="16" fillId="0" borderId="14" xfId="0" applyFont="1" applyBorder="1" applyAlignment="1">
      <alignment vertical="top" wrapText="1"/>
    </xf>
    <xf numFmtId="0" fontId="4" fillId="6" borderId="15" xfId="0" applyFont="1" applyFill="1" applyBorder="1" applyAlignment="1">
      <alignment horizontal="left" vertical="top" wrapText="1"/>
    </xf>
    <xf numFmtId="3" fontId="22" fillId="6" borderId="35" xfId="0" applyNumberFormat="1" applyFont="1" applyFill="1" applyBorder="1" applyAlignment="1">
      <alignment vertical="top" wrapText="1"/>
    </xf>
    <xf numFmtId="3" fontId="4" fillId="0" borderId="92" xfId="0" applyNumberFormat="1" applyFont="1" applyBorder="1" applyAlignment="1">
      <alignment horizontal="center" vertical="top"/>
    </xf>
    <xf numFmtId="3" fontId="31" fillId="6" borderId="12" xfId="1" applyNumberFormat="1" applyFont="1" applyFill="1" applyBorder="1" applyAlignment="1">
      <alignment horizontal="center" vertical="top"/>
    </xf>
    <xf numFmtId="3" fontId="22" fillId="6" borderId="10" xfId="0" applyNumberFormat="1" applyFont="1" applyFill="1" applyBorder="1" applyAlignment="1">
      <alignment horizontal="left" vertical="top" wrapText="1"/>
    </xf>
    <xf numFmtId="3" fontId="30" fillId="6" borderId="12" xfId="0" applyNumberFormat="1" applyFont="1" applyFill="1" applyBorder="1" applyAlignment="1">
      <alignment horizontal="center" vertical="top"/>
    </xf>
    <xf numFmtId="0" fontId="4" fillId="6" borderId="92" xfId="0" applyNumberFormat="1" applyFont="1" applyFill="1" applyBorder="1" applyAlignment="1">
      <alignment horizontal="center" vertical="top"/>
    </xf>
    <xf numFmtId="0" fontId="19" fillId="6" borderId="98" xfId="0" applyNumberFormat="1" applyFont="1" applyFill="1" applyBorder="1" applyAlignment="1">
      <alignment horizontal="center" vertical="top"/>
    </xf>
    <xf numFmtId="0" fontId="28" fillId="6" borderId="88" xfId="0" applyFont="1" applyFill="1" applyBorder="1" applyAlignment="1">
      <alignment horizontal="center" vertical="top"/>
    </xf>
    <xf numFmtId="0" fontId="28" fillId="6" borderId="101" xfId="0" applyFont="1" applyFill="1" applyBorder="1" applyAlignment="1">
      <alignment horizontal="center" vertical="top"/>
    </xf>
    <xf numFmtId="166" fontId="4" fillId="8" borderId="50"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49" fontId="4" fillId="6" borderId="92" xfId="0" applyNumberFormat="1" applyFont="1" applyFill="1" applyBorder="1" applyAlignment="1">
      <alignment horizontal="center" vertical="top" wrapText="1"/>
    </xf>
    <xf numFmtId="49" fontId="4" fillId="6" borderId="98" xfId="0" applyNumberFormat="1" applyFont="1" applyFill="1" applyBorder="1" applyAlignment="1">
      <alignment horizontal="center" vertical="top" wrapText="1"/>
    </xf>
    <xf numFmtId="166" fontId="11" fillId="9" borderId="1" xfId="0" applyNumberFormat="1" applyFont="1" applyFill="1" applyBorder="1" applyAlignment="1">
      <alignment vertical="top" wrapText="1"/>
    </xf>
    <xf numFmtId="166" fontId="7" fillId="9" borderId="1" xfId="0" applyNumberFormat="1" applyFont="1" applyFill="1" applyBorder="1" applyAlignment="1">
      <alignment horizontal="center" vertical="center" textRotation="90" wrapText="1"/>
    </xf>
    <xf numFmtId="166" fontId="22" fillId="9" borderId="24" xfId="0" applyNumberFormat="1" applyFont="1" applyFill="1" applyBorder="1" applyAlignment="1">
      <alignment horizontal="left" vertical="top" wrapText="1"/>
    </xf>
    <xf numFmtId="166" fontId="13" fillId="6" borderId="37" xfId="0"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4" fillId="6" borderId="36" xfId="0" applyNumberFormat="1" applyFont="1" applyFill="1" applyBorder="1" applyAlignment="1">
      <alignment horizontal="left" vertical="top" wrapText="1"/>
    </xf>
    <xf numFmtId="0" fontId="16" fillId="0" borderId="0" xfId="0" applyFont="1" applyFill="1" applyAlignment="1">
      <alignment horizontal="left"/>
    </xf>
    <xf numFmtId="0" fontId="4" fillId="0" borderId="0" xfId="0" applyFont="1" applyFill="1" applyAlignment="1">
      <alignment horizontal="left" vertical="top"/>
    </xf>
    <xf numFmtId="3" fontId="4" fillId="0" borderId="0" xfId="0" applyNumberFormat="1" applyFont="1" applyFill="1" applyBorder="1" applyAlignment="1">
      <alignment horizontal="left" vertical="top"/>
    </xf>
    <xf numFmtId="0" fontId="4" fillId="0" borderId="0" xfId="0" applyFont="1" applyFill="1" applyBorder="1" applyAlignment="1">
      <alignment horizontal="left" vertical="top"/>
    </xf>
    <xf numFmtId="0" fontId="32" fillId="0" borderId="0" xfId="0" applyFont="1" applyAlignment="1">
      <alignment horizontal="left" vertical="top" wrapText="1"/>
    </xf>
    <xf numFmtId="0" fontId="30" fillId="0" borderId="0" xfId="0" applyFont="1" applyFill="1" applyAlignment="1">
      <alignment horizontal="left" vertical="top" wrapText="1"/>
    </xf>
    <xf numFmtId="166" fontId="4" fillId="0" borderId="0" xfId="0" applyNumberFormat="1" applyFont="1" applyFill="1" applyBorder="1" applyAlignment="1">
      <alignment horizontal="left" vertical="top"/>
    </xf>
    <xf numFmtId="0" fontId="4" fillId="0" borderId="0" xfId="0" applyFont="1" applyAlignment="1">
      <alignment horizontal="left"/>
    </xf>
    <xf numFmtId="0" fontId="9" fillId="0" borderId="0" xfId="0" applyFont="1" applyFill="1" applyBorder="1" applyAlignment="1">
      <alignment horizontal="left" vertical="top"/>
    </xf>
    <xf numFmtId="0" fontId="19" fillId="0" borderId="0" xfId="0" applyFont="1" applyFill="1" applyBorder="1" applyAlignment="1">
      <alignment horizontal="left" vertical="top"/>
    </xf>
    <xf numFmtId="0" fontId="9" fillId="0" borderId="0" xfId="0" applyFont="1" applyFill="1" applyAlignment="1">
      <alignment horizontal="left" vertical="top"/>
    </xf>
    <xf numFmtId="0" fontId="26" fillId="0" borderId="0" xfId="0" applyFont="1" applyAlignment="1">
      <alignment vertical="top" wrapText="1"/>
    </xf>
    <xf numFmtId="166" fontId="23" fillId="6" borderId="14" xfId="0" applyNumberFormat="1" applyFont="1" applyFill="1" applyBorder="1" applyAlignment="1">
      <alignment horizontal="center" vertical="top"/>
    </xf>
    <xf numFmtId="166" fontId="23" fillId="6" borderId="0" xfId="0" applyNumberFormat="1" applyFont="1" applyFill="1" applyBorder="1" applyAlignment="1">
      <alignment horizontal="center" vertical="top"/>
    </xf>
    <xf numFmtId="0" fontId="0" fillId="0" borderId="0" xfId="0" applyFill="1" applyAlignment="1">
      <alignment horizontal="left"/>
    </xf>
    <xf numFmtId="0" fontId="9" fillId="0" borderId="0" xfId="0" applyFont="1" applyFill="1" applyBorder="1" applyAlignment="1">
      <alignment vertical="top"/>
    </xf>
    <xf numFmtId="166" fontId="5" fillId="6" borderId="67" xfId="0" applyNumberFormat="1" applyFont="1" applyFill="1" applyBorder="1" applyAlignment="1">
      <alignment horizontal="center" vertical="top"/>
    </xf>
    <xf numFmtId="49" fontId="4" fillId="6" borderId="99" xfId="0" applyNumberFormat="1" applyFont="1" applyFill="1" applyBorder="1" applyAlignment="1">
      <alignment horizontal="center" vertical="top"/>
    </xf>
    <xf numFmtId="0" fontId="10" fillId="6" borderId="15" xfId="0" applyFont="1" applyFill="1" applyBorder="1" applyAlignment="1">
      <alignment horizontal="left" vertical="top" wrapText="1"/>
    </xf>
    <xf numFmtId="0" fontId="4" fillId="6" borderId="34" xfId="0" applyFont="1" applyFill="1" applyBorder="1" applyAlignment="1">
      <alignment horizontal="left" vertical="top" wrapText="1"/>
    </xf>
    <xf numFmtId="3" fontId="4" fillId="9" borderId="1"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0" fontId="4" fillId="6" borderId="34" xfId="0" applyFont="1" applyFill="1" applyBorder="1" applyAlignment="1">
      <alignment horizontal="center" vertical="top" wrapText="1"/>
    </xf>
    <xf numFmtId="0" fontId="9" fillId="6" borderId="40" xfId="0" applyFont="1" applyFill="1" applyBorder="1" applyAlignment="1">
      <alignment horizontal="center" vertical="top"/>
    </xf>
    <xf numFmtId="0" fontId="9" fillId="6" borderId="41" xfId="0" applyFont="1" applyFill="1" applyBorder="1" applyAlignment="1">
      <alignment horizontal="center" vertical="top"/>
    </xf>
    <xf numFmtId="0" fontId="12" fillId="6" borderId="18" xfId="0" applyFont="1" applyFill="1" applyBorder="1" applyAlignment="1">
      <alignment horizontal="center" vertical="top"/>
    </xf>
    <xf numFmtId="0" fontId="9" fillId="6" borderId="57" xfId="0" applyFont="1" applyFill="1" applyBorder="1" applyAlignment="1">
      <alignment horizontal="center" vertical="top"/>
    </xf>
    <xf numFmtId="0" fontId="9" fillId="6" borderId="59" xfId="0" applyFont="1" applyFill="1" applyBorder="1" applyAlignment="1">
      <alignment horizontal="center" vertical="top"/>
    </xf>
    <xf numFmtId="0" fontId="12" fillId="6" borderId="99" xfId="0" applyFont="1" applyFill="1" applyBorder="1" applyAlignment="1">
      <alignment horizontal="center" vertical="top"/>
    </xf>
    <xf numFmtId="49" fontId="4" fillId="6" borderId="79" xfId="0" applyNumberFormat="1" applyFont="1" applyFill="1" applyBorder="1" applyAlignment="1">
      <alignment wrapText="1"/>
    </xf>
    <xf numFmtId="3" fontId="16" fillId="6" borderId="36" xfId="0" applyNumberFormat="1" applyFont="1" applyFill="1" applyBorder="1" applyAlignment="1">
      <alignment horizontal="left" vertical="top" wrapText="1"/>
    </xf>
    <xf numFmtId="3" fontId="4" fillId="6" borderId="78" xfId="0" applyNumberFormat="1" applyFont="1" applyFill="1" applyBorder="1" applyAlignment="1">
      <alignment horizontal="left" vertical="top" wrapText="1"/>
    </xf>
    <xf numFmtId="0" fontId="10" fillId="6" borderId="109" xfId="0" applyFont="1" applyFill="1" applyBorder="1" applyAlignment="1">
      <alignment horizontal="left" vertical="top" wrapText="1"/>
    </xf>
    <xf numFmtId="166" fontId="20" fillId="6" borderId="67" xfId="0" applyNumberFormat="1" applyFont="1" applyFill="1" applyBorder="1" applyAlignment="1">
      <alignment horizontal="center" vertical="top"/>
    </xf>
    <xf numFmtId="0" fontId="4" fillId="6" borderId="0" xfId="0" applyFont="1" applyFill="1" applyAlignment="1">
      <alignment horizontal="left" vertical="top"/>
    </xf>
    <xf numFmtId="3" fontId="4" fillId="0" borderId="0" xfId="0" applyNumberFormat="1" applyFont="1" applyAlignment="1">
      <alignment horizontal="left" vertical="top" wrapText="1"/>
    </xf>
    <xf numFmtId="3" fontId="4" fillId="6" borderId="0" xfId="0" applyNumberFormat="1" applyFont="1" applyFill="1" applyBorder="1" applyAlignment="1">
      <alignment vertical="top"/>
    </xf>
    <xf numFmtId="49" fontId="6" fillId="4" borderId="13" xfId="0" applyNumberFormat="1" applyFont="1" applyFill="1" applyBorder="1" applyAlignment="1">
      <alignment vertical="top"/>
    </xf>
    <xf numFmtId="49" fontId="6" fillId="6" borderId="0" xfId="0" applyNumberFormat="1" applyFont="1" applyFill="1" applyBorder="1" applyAlignment="1">
      <alignment vertical="top"/>
    </xf>
    <xf numFmtId="165" fontId="4" fillId="6" borderId="40" xfId="0" applyNumberFormat="1" applyFont="1" applyFill="1" applyBorder="1" applyAlignment="1">
      <alignment horizontal="center" vertical="center" textRotation="90"/>
    </xf>
    <xf numFmtId="165" fontId="4" fillId="6" borderId="12" xfId="0" applyNumberFormat="1" applyFont="1" applyFill="1" applyBorder="1" applyAlignment="1">
      <alignment horizontal="center" vertical="center" textRotation="90"/>
    </xf>
    <xf numFmtId="165" fontId="4" fillId="6" borderId="11"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center" textRotation="90"/>
    </xf>
    <xf numFmtId="166" fontId="4" fillId="6" borderId="13" xfId="0" applyNumberFormat="1" applyFont="1" applyFill="1" applyBorder="1" applyAlignment="1">
      <alignment vertical="top"/>
    </xf>
    <xf numFmtId="166" fontId="4" fillId="6" borderId="13" xfId="0" applyNumberFormat="1" applyFont="1" applyFill="1" applyBorder="1" applyAlignment="1">
      <alignment horizontal="center" vertical="center"/>
    </xf>
    <xf numFmtId="49" fontId="4" fillId="6" borderId="96" xfId="0" applyNumberFormat="1" applyFont="1" applyFill="1" applyBorder="1" applyAlignment="1">
      <alignment vertical="top"/>
    </xf>
    <xf numFmtId="49" fontId="4" fillId="6" borderId="79" xfId="0" applyNumberFormat="1" applyFont="1" applyFill="1" applyBorder="1" applyAlignment="1">
      <alignment vertical="top"/>
    </xf>
    <xf numFmtId="49" fontId="4" fillId="6" borderId="98" xfId="0" applyNumberFormat="1" applyFont="1" applyFill="1" applyBorder="1" applyAlignment="1">
      <alignment vertical="top"/>
    </xf>
    <xf numFmtId="49" fontId="5" fillId="0" borderId="95" xfId="0" applyNumberFormat="1" applyFont="1" applyBorder="1" applyAlignment="1">
      <alignment horizontal="center" vertical="top" wrapText="1"/>
    </xf>
    <xf numFmtId="0" fontId="4" fillId="6" borderId="49" xfId="0" applyFont="1" applyFill="1" applyBorder="1" applyAlignment="1">
      <alignment horizontal="center" vertical="top"/>
    </xf>
    <xf numFmtId="3" fontId="10" fillId="0"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12" fillId="6" borderId="1" xfId="0" applyNumberFormat="1" applyFont="1" applyFill="1" applyBorder="1" applyAlignment="1">
      <alignment horizontal="center" vertical="top" wrapText="1"/>
    </xf>
    <xf numFmtId="3" fontId="10" fillId="0" borderId="104" xfId="0" applyNumberFormat="1" applyFont="1" applyFill="1" applyBorder="1" applyAlignment="1">
      <alignment horizontal="center" vertical="top"/>
    </xf>
    <xf numFmtId="3" fontId="12" fillId="6" borderId="6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4" xfId="0" applyNumberFormat="1" applyFont="1" applyBorder="1" applyAlignment="1">
      <alignment horizontal="center" vertical="top"/>
    </xf>
    <xf numFmtId="3" fontId="13" fillId="6" borderId="14" xfId="0" applyNumberFormat="1" applyFont="1" applyFill="1" applyBorder="1" applyAlignment="1">
      <alignment horizontal="center" vertical="top" wrapText="1"/>
    </xf>
    <xf numFmtId="3" fontId="13" fillId="6" borderId="38" xfId="0" applyNumberFormat="1" applyFont="1" applyFill="1" applyBorder="1" applyAlignment="1">
      <alignment horizontal="center" vertical="top" wrapText="1"/>
    </xf>
    <xf numFmtId="0" fontId="10" fillId="6" borderId="47" xfId="0" applyFont="1" applyFill="1" applyBorder="1" applyAlignment="1">
      <alignment horizontal="left" vertical="top" wrapText="1"/>
    </xf>
    <xf numFmtId="3" fontId="10" fillId="0" borderId="1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19" fillId="6" borderId="40" xfId="0" applyNumberFormat="1" applyFont="1" applyFill="1" applyBorder="1" applyAlignment="1">
      <alignment horizontal="center" vertical="top"/>
    </xf>
    <xf numFmtId="0" fontId="4" fillId="10" borderId="15" xfId="0" applyFont="1" applyFill="1" applyBorder="1" applyAlignment="1">
      <alignment vertical="top" wrapText="1"/>
    </xf>
    <xf numFmtId="0" fontId="4" fillId="10" borderId="40" xfId="0" applyFont="1" applyFill="1" applyBorder="1" applyAlignment="1">
      <alignment horizontal="center" vertical="top"/>
    </xf>
    <xf numFmtId="3" fontId="6" fillId="6" borderId="57" xfId="0" applyNumberFormat="1" applyFont="1" applyFill="1" applyBorder="1" applyAlignment="1">
      <alignment vertical="top" wrapText="1"/>
    </xf>
    <xf numFmtId="3" fontId="4" fillId="6" borderId="5" xfId="0" applyNumberFormat="1" applyFont="1" applyFill="1" applyBorder="1" applyAlignment="1">
      <alignment vertical="top"/>
    </xf>
    <xf numFmtId="0" fontId="4" fillId="6" borderId="56" xfId="0" applyFont="1" applyFill="1" applyBorder="1" applyAlignment="1">
      <alignment vertical="top" wrapText="1"/>
    </xf>
    <xf numFmtId="0" fontId="4" fillId="6" borderId="13" xfId="0" applyFont="1" applyFill="1" applyBorder="1" applyAlignment="1">
      <alignment vertical="center" wrapText="1"/>
    </xf>
    <xf numFmtId="0" fontId="4" fillId="6" borderId="11" xfId="0" applyFont="1" applyFill="1" applyBorder="1" applyAlignment="1">
      <alignment horizontal="center" vertical="center"/>
    </xf>
    <xf numFmtId="0" fontId="4" fillId="6" borderId="34" xfId="0" applyFont="1" applyFill="1" applyBorder="1" applyAlignment="1">
      <alignment vertical="center" wrapText="1"/>
    </xf>
    <xf numFmtId="0" fontId="4" fillId="6" borderId="57" xfId="0" applyFont="1" applyFill="1" applyBorder="1" applyAlignment="1">
      <alignment horizontal="center" vertical="center"/>
    </xf>
    <xf numFmtId="0" fontId="4" fillId="6" borderId="7" xfId="0" applyFont="1" applyFill="1" applyBorder="1" applyAlignment="1">
      <alignment horizontal="center" vertical="top"/>
    </xf>
    <xf numFmtId="3" fontId="5" fillId="6" borderId="22" xfId="0" applyNumberFormat="1" applyFont="1" applyFill="1" applyBorder="1" applyAlignment="1">
      <alignment horizontal="center" vertical="top" wrapText="1"/>
    </xf>
    <xf numFmtId="166" fontId="23" fillId="6" borderId="0" xfId="0" applyNumberFormat="1" applyFont="1" applyFill="1" applyBorder="1" applyAlignment="1">
      <alignment horizontal="right" vertical="top"/>
    </xf>
    <xf numFmtId="0" fontId="6" fillId="0" borderId="61" xfId="0" applyFont="1" applyBorder="1" applyAlignment="1">
      <alignment horizontal="center" vertical="center" wrapText="1"/>
    </xf>
    <xf numFmtId="3" fontId="10" fillId="6" borderId="57" xfId="0" applyNumberFormat="1" applyFont="1" applyFill="1" applyBorder="1" applyAlignment="1">
      <alignment horizontal="left" vertical="top" wrapText="1"/>
    </xf>
    <xf numFmtId="0" fontId="10" fillId="6" borderId="35" xfId="0" applyFont="1" applyFill="1" applyBorder="1" applyAlignment="1">
      <alignment horizontal="left" vertical="top" wrapText="1"/>
    </xf>
    <xf numFmtId="3" fontId="10" fillId="6" borderId="57"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6" borderId="99"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0" fontId="4" fillId="0" borderId="0" xfId="0" applyFont="1" applyAlignment="1">
      <alignment vertical="top" wrapText="1"/>
    </xf>
    <xf numFmtId="3" fontId="10" fillId="0" borderId="97" xfId="0" applyNumberFormat="1" applyFont="1" applyFill="1" applyBorder="1" applyAlignment="1">
      <alignment horizontal="center" vertical="top"/>
    </xf>
    <xf numFmtId="166" fontId="13" fillId="6" borderId="3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0" borderId="12"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6" fillId="6" borderId="33" xfId="0" applyNumberFormat="1" applyFont="1" applyFill="1" applyBorder="1" applyAlignment="1">
      <alignment horizontal="center" vertical="top"/>
    </xf>
    <xf numFmtId="0" fontId="4" fillId="6" borderId="57" xfId="0"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center" vertical="top"/>
    </xf>
    <xf numFmtId="3" fontId="6" fillId="0"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1" xfId="0" applyFont="1" applyFill="1" applyBorder="1" applyAlignment="1">
      <alignment vertical="top" wrapText="1"/>
    </xf>
    <xf numFmtId="0" fontId="4" fillId="6" borderId="35" xfId="0" applyFont="1" applyFill="1" applyBorder="1" applyAlignment="1">
      <alignment horizontal="left" vertical="top" wrapText="1"/>
    </xf>
    <xf numFmtId="3" fontId="6" fillId="6" borderId="11" xfId="0" applyNumberFormat="1" applyFont="1" applyFill="1" applyBorder="1" applyAlignment="1">
      <alignment vertical="top" wrapText="1"/>
    </xf>
    <xf numFmtId="3" fontId="4" fillId="6" borderId="52" xfId="0" applyNumberFormat="1" applyFont="1" applyFill="1" applyBorder="1" applyAlignment="1">
      <alignment vertical="top" wrapText="1"/>
    </xf>
    <xf numFmtId="3" fontId="4" fillId="6" borderId="66" xfId="0" applyNumberFormat="1" applyFont="1" applyFill="1" applyBorder="1" applyAlignment="1">
      <alignment horizontal="left" vertical="top" wrapText="1"/>
    </xf>
    <xf numFmtId="0" fontId="25" fillId="0" borderId="0" xfId="0" applyFont="1" applyAlignment="1">
      <alignment horizontal="right" vertical="top"/>
    </xf>
    <xf numFmtId="166" fontId="4" fillId="6" borderId="8" xfId="0" applyNumberFormat="1" applyFont="1" applyFill="1" applyBorder="1" applyAlignment="1">
      <alignment horizontal="center" vertical="top"/>
    </xf>
    <xf numFmtId="166" fontId="4" fillId="6" borderId="85" xfId="0" applyNumberFormat="1" applyFont="1" applyFill="1" applyBorder="1" applyAlignment="1">
      <alignment horizontal="center" vertical="center"/>
    </xf>
    <xf numFmtId="166" fontId="4" fillId="6" borderId="9" xfId="0" applyNumberFormat="1" applyFont="1" applyFill="1" applyBorder="1" applyAlignment="1">
      <alignment horizontal="center" vertical="top"/>
    </xf>
    <xf numFmtId="166" fontId="4" fillId="6" borderId="66"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6" fillId="5" borderId="60" xfId="0" applyNumberFormat="1" applyFont="1" applyFill="1" applyBorder="1" applyAlignment="1">
      <alignment horizontal="center" vertical="top"/>
    </xf>
    <xf numFmtId="166" fontId="4" fillId="6" borderId="40" xfId="0" applyNumberFormat="1" applyFont="1" applyFill="1" applyBorder="1" applyAlignment="1">
      <alignment horizontal="center" vertical="center"/>
    </xf>
    <xf numFmtId="166" fontId="4" fillId="6" borderId="11" xfId="0" applyNumberFormat="1" applyFont="1" applyFill="1" applyBorder="1" applyAlignment="1">
      <alignment horizontal="center" vertical="center"/>
    </xf>
    <xf numFmtId="166" fontId="4" fillId="6" borderId="64" xfId="0" applyNumberFormat="1" applyFont="1" applyFill="1" applyBorder="1" applyAlignment="1">
      <alignment horizontal="center" vertical="top"/>
    </xf>
    <xf numFmtId="166" fontId="13" fillId="6" borderId="57" xfId="0" applyNumberFormat="1" applyFont="1" applyFill="1" applyBorder="1" applyAlignment="1">
      <alignment horizontal="center" vertical="top"/>
    </xf>
    <xf numFmtId="166" fontId="4" fillId="6" borderId="0" xfId="0" applyNumberFormat="1" applyFont="1" applyFill="1" applyBorder="1" applyAlignment="1">
      <alignment horizontal="center" vertical="center"/>
    </xf>
    <xf numFmtId="166" fontId="13" fillId="6" borderId="59" xfId="0" applyNumberFormat="1" applyFont="1" applyFill="1" applyBorder="1" applyAlignment="1">
      <alignment horizontal="center" vertical="top"/>
    </xf>
    <xf numFmtId="166" fontId="5" fillId="6" borderId="66" xfId="0" applyNumberFormat="1" applyFont="1" applyFill="1" applyBorder="1" applyAlignment="1">
      <alignment horizontal="center" vertical="top"/>
    </xf>
    <xf numFmtId="3" fontId="4" fillId="6" borderId="13" xfId="0" applyNumberFormat="1" applyFont="1" applyFill="1" applyBorder="1" applyAlignment="1">
      <alignment horizontal="left" vertical="top" wrapText="1"/>
    </xf>
    <xf numFmtId="3" fontId="4" fillId="6" borderId="66" xfId="0" applyNumberFormat="1" applyFont="1" applyFill="1" applyBorder="1" applyAlignment="1">
      <alignment horizontal="center" vertical="top" wrapText="1"/>
    </xf>
    <xf numFmtId="166" fontId="20" fillId="6" borderId="6" xfId="0" applyNumberFormat="1" applyFont="1" applyFill="1" applyBorder="1" applyAlignment="1">
      <alignment horizontal="center" vertical="top"/>
    </xf>
    <xf numFmtId="166" fontId="20" fillId="6" borderId="5" xfId="0" applyNumberFormat="1" applyFont="1" applyFill="1" applyBorder="1" applyAlignment="1">
      <alignment horizontal="center" vertical="top"/>
    </xf>
    <xf numFmtId="166" fontId="20" fillId="6" borderId="41"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0" fontId="4" fillId="10" borderId="14" xfId="0" applyFont="1" applyFill="1" applyBorder="1" applyAlignment="1">
      <alignment horizontal="center" vertical="center"/>
    </xf>
    <xf numFmtId="49" fontId="4" fillId="6" borderId="14" xfId="0" applyNumberFormat="1" applyFont="1" applyFill="1" applyBorder="1" applyAlignment="1">
      <alignment horizontal="center" vertical="top"/>
    </xf>
    <xf numFmtId="166" fontId="6" fillId="5" borderId="25" xfId="0" applyNumberFormat="1" applyFont="1" applyFill="1" applyBorder="1" applyAlignment="1">
      <alignment horizontal="center" vertical="top"/>
    </xf>
    <xf numFmtId="166" fontId="4" fillId="6" borderId="0" xfId="0" applyNumberFormat="1" applyFont="1" applyFill="1" applyBorder="1" applyAlignment="1">
      <alignment vertical="top"/>
    </xf>
    <xf numFmtId="166" fontId="4" fillId="6" borderId="11" xfId="0" applyNumberFormat="1" applyFont="1" applyFill="1" applyBorder="1" applyAlignment="1">
      <alignment vertical="top"/>
    </xf>
    <xf numFmtId="166" fontId="5" fillId="6" borderId="5" xfId="0" applyNumberFormat="1" applyFont="1" applyFill="1" applyBorder="1" applyAlignment="1">
      <alignment horizontal="center" vertical="top"/>
    </xf>
    <xf numFmtId="166" fontId="23" fillId="6" borderId="13" xfId="0" applyNumberFormat="1" applyFont="1" applyFill="1" applyBorder="1" applyAlignment="1">
      <alignment horizontal="right" vertical="top"/>
    </xf>
    <xf numFmtId="166" fontId="23" fillId="6" borderId="13" xfId="0" applyNumberFormat="1" applyFont="1" applyFill="1" applyBorder="1" applyAlignment="1">
      <alignment horizontal="center" vertical="top"/>
    </xf>
    <xf numFmtId="166" fontId="5" fillId="6" borderId="6" xfId="0" applyNumberFormat="1" applyFont="1" applyFill="1" applyBorder="1" applyAlignment="1">
      <alignment horizontal="center" vertical="top"/>
    </xf>
    <xf numFmtId="166" fontId="23" fillId="6" borderId="85" xfId="0" applyNumberFormat="1" applyFont="1" applyFill="1" applyBorder="1" applyAlignment="1">
      <alignment horizontal="right" vertical="top"/>
    </xf>
    <xf numFmtId="166" fontId="23" fillId="6" borderId="85" xfId="0" applyNumberFormat="1" applyFont="1" applyFill="1" applyBorder="1" applyAlignment="1">
      <alignment horizontal="center" vertical="top"/>
    </xf>
    <xf numFmtId="166" fontId="6" fillId="3" borderId="73" xfId="0" applyNumberFormat="1" applyFont="1" applyFill="1" applyBorder="1" applyAlignment="1">
      <alignment horizontal="center" vertical="top"/>
    </xf>
    <xf numFmtId="166" fontId="6" fillId="4" borderId="73" xfId="0" applyNumberFormat="1" applyFont="1" applyFill="1" applyBorder="1" applyAlignment="1">
      <alignment horizontal="center" vertical="top"/>
    </xf>
    <xf numFmtId="166" fontId="23" fillId="6" borderId="11" xfId="0" applyNumberFormat="1" applyFont="1" applyFill="1" applyBorder="1" applyAlignment="1">
      <alignment horizontal="right" vertical="top"/>
    </xf>
    <xf numFmtId="166" fontId="5" fillId="6" borderId="40" xfId="0" applyNumberFormat="1" applyFont="1" applyFill="1" applyBorder="1" applyAlignment="1">
      <alignment horizontal="center" vertical="top"/>
    </xf>
    <xf numFmtId="166" fontId="23" fillId="6" borderId="11" xfId="0" applyNumberFormat="1" applyFont="1" applyFill="1" applyBorder="1" applyAlignment="1">
      <alignment horizontal="center" vertical="top"/>
    </xf>
    <xf numFmtId="166" fontId="6" fillId="3" borderId="9" xfId="0" applyNumberFormat="1" applyFont="1" applyFill="1" applyBorder="1" applyAlignment="1">
      <alignment horizontal="center" vertical="top" wrapText="1"/>
    </xf>
    <xf numFmtId="166" fontId="4" fillId="0" borderId="20" xfId="0" applyNumberFormat="1" applyFont="1" applyFill="1" applyBorder="1" applyAlignment="1">
      <alignment horizontal="center" vertical="top" wrapText="1"/>
    </xf>
    <xf numFmtId="166" fontId="6" fillId="9" borderId="87" xfId="0" applyNumberFormat="1" applyFont="1" applyFill="1" applyBorder="1" applyAlignment="1">
      <alignment horizontal="center" vertical="top" wrapText="1"/>
    </xf>
    <xf numFmtId="166" fontId="19" fillId="0" borderId="11" xfId="0" applyNumberFormat="1" applyFont="1" applyFill="1" applyBorder="1" applyAlignment="1">
      <alignment horizontal="center" vertical="top"/>
    </xf>
    <xf numFmtId="3" fontId="4" fillId="6" borderId="34" xfId="0" applyNumberFormat="1" applyFont="1" applyFill="1" applyBorder="1" applyAlignment="1">
      <alignment horizontal="center"/>
    </xf>
    <xf numFmtId="3" fontId="4" fillId="6" borderId="31" xfId="0" applyNumberFormat="1" applyFont="1" applyFill="1" applyBorder="1" applyAlignment="1">
      <alignment horizontal="center" vertical="top"/>
    </xf>
    <xf numFmtId="166" fontId="4" fillId="0" borderId="61" xfId="0" applyNumberFormat="1" applyFont="1" applyFill="1" applyBorder="1" applyAlignment="1">
      <alignment horizontal="center" vertical="top"/>
    </xf>
    <xf numFmtId="0" fontId="6" fillId="6" borderId="14" xfId="0" applyFont="1" applyFill="1" applyBorder="1" applyAlignment="1">
      <alignment horizontal="left" vertical="top" wrapText="1"/>
    </xf>
    <xf numFmtId="3" fontId="4" fillId="6" borderId="14" xfId="0" applyNumberFormat="1" applyFont="1" applyFill="1" applyBorder="1" applyAlignment="1">
      <alignment vertical="top"/>
    </xf>
    <xf numFmtId="165" fontId="4" fillId="6" borderId="57" xfId="0" applyNumberFormat="1" applyFont="1" applyFill="1" applyBorder="1" applyAlignment="1">
      <alignment horizontal="center" vertical="center" textRotation="90"/>
    </xf>
    <xf numFmtId="0" fontId="6" fillId="9" borderId="68" xfId="0" applyFont="1" applyFill="1" applyBorder="1" applyAlignment="1">
      <alignment horizontal="center" vertical="top"/>
    </xf>
    <xf numFmtId="166" fontId="6" fillId="3" borderId="84"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0" fontId="4" fillId="6" borderId="10"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15" xfId="0" applyNumberFormat="1" applyFont="1" applyFill="1" applyBorder="1" applyAlignment="1">
      <alignment vertical="top" wrapText="1"/>
    </xf>
    <xf numFmtId="3" fontId="4" fillId="6" borderId="82" xfId="0" applyNumberFormat="1" applyFont="1" applyFill="1" applyBorder="1" applyAlignment="1">
      <alignment horizontal="lef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49" fontId="4" fillId="6" borderId="85" xfId="0" applyNumberFormat="1" applyFont="1" applyFill="1" applyBorder="1" applyAlignment="1">
      <alignment vertical="top"/>
    </xf>
    <xf numFmtId="49" fontId="5" fillId="0" borderId="85" xfId="0" applyNumberFormat="1" applyFont="1" applyBorder="1" applyAlignment="1">
      <alignment horizontal="center" vertical="top" wrapText="1"/>
    </xf>
    <xf numFmtId="49" fontId="4" fillId="6" borderId="85" xfId="0" applyNumberFormat="1" applyFont="1" applyFill="1" applyBorder="1" applyAlignment="1">
      <alignment horizontal="center" vertical="top"/>
    </xf>
    <xf numFmtId="3" fontId="4" fillId="0" borderId="85" xfId="0" applyNumberFormat="1" applyFont="1" applyBorder="1" applyAlignment="1">
      <alignment horizontal="center" vertical="top"/>
    </xf>
    <xf numFmtId="3" fontId="10" fillId="6" borderId="85" xfId="0" applyNumberFormat="1" applyFont="1" applyFill="1" applyBorder="1" applyAlignment="1">
      <alignment horizontal="center" vertical="top"/>
    </xf>
    <xf numFmtId="3" fontId="5" fillId="6" borderId="85" xfId="0" applyNumberFormat="1" applyFont="1" applyFill="1" applyBorder="1" applyAlignment="1">
      <alignment horizontal="center" vertical="top"/>
    </xf>
    <xf numFmtId="0" fontId="19" fillId="6" borderId="8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0" fontId="16" fillId="0" borderId="21" xfId="0" applyFont="1" applyBorder="1" applyAlignment="1">
      <alignment vertical="top" wrapText="1"/>
    </xf>
    <xf numFmtId="3" fontId="4" fillId="6" borderId="21" xfId="0" applyNumberFormat="1" applyFont="1" applyFill="1" applyBorder="1" applyAlignment="1">
      <alignment vertical="top"/>
    </xf>
    <xf numFmtId="3" fontId="20" fillId="0" borderId="6" xfId="0" applyNumberFormat="1" applyFont="1" applyBorder="1" applyAlignment="1">
      <alignment vertical="top"/>
    </xf>
    <xf numFmtId="3" fontId="25" fillId="6" borderId="85" xfId="0" applyNumberFormat="1" applyFont="1" applyFill="1" applyBorder="1" applyAlignment="1">
      <alignment horizontal="center" vertical="top"/>
    </xf>
    <xf numFmtId="3" fontId="20" fillId="0" borderId="25" xfId="0" applyNumberFormat="1" applyFont="1" applyBorder="1" applyAlignment="1">
      <alignment vertical="top"/>
    </xf>
    <xf numFmtId="0" fontId="4" fillId="0" borderId="29" xfId="0" applyFont="1" applyBorder="1" applyAlignment="1">
      <alignment horizontal="center" vertical="center" textRotation="90" wrapText="1"/>
    </xf>
    <xf numFmtId="166" fontId="4" fillId="6" borderId="31" xfId="0" applyNumberFormat="1" applyFont="1" applyFill="1" applyBorder="1" applyAlignment="1">
      <alignment horizontal="center" vertical="top" wrapText="1"/>
    </xf>
    <xf numFmtId="166" fontId="4" fillId="6" borderId="52" xfId="0" applyNumberFormat="1" applyFont="1" applyFill="1" applyBorder="1" applyAlignment="1">
      <alignment horizontal="center" vertical="top" wrapText="1"/>
    </xf>
    <xf numFmtId="166" fontId="4" fillId="6" borderId="20" xfId="0" applyNumberFormat="1" applyFont="1" applyFill="1" applyBorder="1" applyAlignment="1">
      <alignment horizontal="center" vertical="top" wrapText="1"/>
    </xf>
    <xf numFmtId="0" fontId="4" fillId="6" borderId="12" xfId="0" applyFont="1" applyFill="1" applyBorder="1" applyAlignment="1">
      <alignment horizontal="center" vertical="top"/>
    </xf>
    <xf numFmtId="0" fontId="4" fillId="6" borderId="93" xfId="0" applyFont="1" applyFill="1" applyBorder="1" applyAlignment="1">
      <alignment horizontal="center" vertical="top"/>
    </xf>
    <xf numFmtId="0" fontId="4" fillId="6" borderId="39" xfId="0" applyFont="1" applyFill="1" applyBorder="1" applyAlignment="1">
      <alignment horizontal="center" vertical="top"/>
    </xf>
    <xf numFmtId="166" fontId="4" fillId="6" borderId="53" xfId="0" applyNumberFormat="1" applyFont="1" applyFill="1" applyBorder="1" applyAlignment="1">
      <alignment horizontal="center" vertical="top" wrapText="1"/>
    </xf>
    <xf numFmtId="165" fontId="4" fillId="6" borderId="91" xfId="0" applyNumberFormat="1" applyFont="1" applyFill="1" applyBorder="1" applyAlignment="1">
      <alignment horizontal="center" vertical="top" wrapText="1"/>
    </xf>
    <xf numFmtId="165" fontId="4" fillId="6" borderId="45" xfId="0" applyNumberFormat="1" applyFont="1" applyFill="1" applyBorder="1" applyAlignment="1">
      <alignment horizontal="center" vertical="top" wrapText="1"/>
    </xf>
    <xf numFmtId="165" fontId="4" fillId="6" borderId="105" xfId="0" applyNumberFormat="1" applyFont="1" applyFill="1" applyBorder="1" applyAlignment="1">
      <alignment horizontal="center" vertical="top" wrapText="1"/>
    </xf>
    <xf numFmtId="0" fontId="4" fillId="6" borderId="10"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6" borderId="46" xfId="0" applyFont="1" applyFill="1" applyBorder="1" applyAlignment="1">
      <alignment horizontal="center" vertical="top"/>
    </xf>
    <xf numFmtId="166" fontId="19" fillId="6" borderId="86" xfId="0" applyNumberFormat="1" applyFont="1" applyFill="1" applyBorder="1" applyAlignment="1">
      <alignment horizontal="center" vertical="top"/>
    </xf>
    <xf numFmtId="166" fontId="4" fillId="6" borderId="46" xfId="0" applyNumberFormat="1" applyFont="1" applyFill="1" applyBorder="1" applyAlignment="1">
      <alignment horizontal="center" vertical="center"/>
    </xf>
    <xf numFmtId="166" fontId="4" fillId="6" borderId="45" xfId="0" applyNumberFormat="1" applyFont="1" applyFill="1" applyBorder="1" applyAlignment="1">
      <alignment horizontal="center" vertical="center"/>
    </xf>
    <xf numFmtId="166" fontId="4" fillId="6" borderId="86" xfId="0" applyNumberFormat="1" applyFont="1" applyFill="1" applyBorder="1" applyAlignment="1">
      <alignment horizontal="center" vertical="center"/>
    </xf>
    <xf numFmtId="165" fontId="4" fillId="6" borderId="91" xfId="0" applyNumberFormat="1" applyFont="1" applyFill="1" applyBorder="1" applyAlignment="1">
      <alignment horizontal="center" vertical="center" textRotation="90"/>
    </xf>
    <xf numFmtId="165" fontId="4" fillId="6" borderId="45" xfId="0" applyNumberFormat="1" applyFont="1" applyFill="1" applyBorder="1" applyAlignment="1">
      <alignment horizontal="center" vertical="center" textRotation="90"/>
    </xf>
    <xf numFmtId="165" fontId="4" fillId="6" borderId="105" xfId="0" applyNumberFormat="1" applyFont="1" applyFill="1" applyBorder="1" applyAlignment="1">
      <alignment horizontal="center" vertical="center" textRotation="90"/>
    </xf>
    <xf numFmtId="166" fontId="4" fillId="6" borderId="45" xfId="0" applyNumberFormat="1" applyFont="1" applyFill="1" applyBorder="1" applyAlignment="1">
      <alignment horizontal="center" vertical="top"/>
    </xf>
    <xf numFmtId="3" fontId="4" fillId="6" borderId="8" xfId="0" applyNumberFormat="1" applyFont="1" applyFill="1" applyBorder="1" applyAlignment="1">
      <alignment vertical="top"/>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166" fontId="19" fillId="6" borderId="6" xfId="0" applyNumberFormat="1" applyFont="1" applyFill="1" applyBorder="1" applyAlignment="1">
      <alignment horizontal="center" vertical="top"/>
    </xf>
    <xf numFmtId="3" fontId="19" fillId="6" borderId="11" xfId="0" applyNumberFormat="1" applyFont="1" applyFill="1" applyBorder="1" applyAlignment="1">
      <alignment horizontal="center" vertical="top"/>
    </xf>
    <xf numFmtId="0" fontId="20" fillId="0" borderId="104" xfId="0" applyFont="1" applyBorder="1" applyAlignment="1">
      <alignment vertical="top" wrapText="1"/>
    </xf>
    <xf numFmtId="166" fontId="19" fillId="6" borderId="85" xfId="0" applyNumberFormat="1" applyFont="1" applyFill="1" applyBorder="1" applyAlignment="1">
      <alignment horizontal="center" vertical="center"/>
    </xf>
    <xf numFmtId="3" fontId="4" fillId="6" borderId="82" xfId="0" applyNumberFormat="1" applyFont="1" applyFill="1" applyBorder="1" applyAlignment="1">
      <alignment horizontal="left" vertical="top" wrapText="1"/>
    </xf>
    <xf numFmtId="49" fontId="4" fillId="6" borderId="79" xfId="0" applyNumberFormat="1" applyFont="1" applyFill="1" applyBorder="1" applyAlignment="1">
      <alignment horizontal="left" vertical="top"/>
    </xf>
    <xf numFmtId="0" fontId="4" fillId="0" borderId="89" xfId="0" applyFont="1" applyBorder="1" applyAlignment="1">
      <alignment horizontal="left" vertical="top" wrapText="1"/>
    </xf>
    <xf numFmtId="3" fontId="4" fillId="0" borderId="13" xfId="0" applyNumberFormat="1" applyFont="1" applyFill="1" applyBorder="1" applyAlignment="1">
      <alignment horizontal="center" vertical="top" wrapText="1"/>
    </xf>
    <xf numFmtId="3" fontId="4" fillId="6" borderId="28"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0" borderId="114" xfId="0" applyNumberFormat="1" applyFont="1" applyFill="1" applyBorder="1" applyAlignment="1">
      <alignment horizontal="center" vertical="top"/>
    </xf>
    <xf numFmtId="0" fontId="19" fillId="6" borderId="14" xfId="0" applyFont="1" applyFill="1" applyBorder="1" applyAlignment="1">
      <alignment vertical="top"/>
    </xf>
    <xf numFmtId="3" fontId="10" fillId="0" borderId="112" xfId="0" applyNumberFormat="1" applyFont="1" applyFill="1" applyBorder="1" applyAlignment="1">
      <alignment horizontal="center" vertical="top"/>
    </xf>
    <xf numFmtId="3" fontId="10" fillId="0" borderId="11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6" borderId="14" xfId="0" applyFill="1" applyBorder="1" applyAlignment="1">
      <alignment vertical="top" wrapText="1"/>
    </xf>
    <xf numFmtId="0" fontId="4" fillId="6" borderId="35" xfId="0" applyFont="1" applyFill="1" applyBorder="1" applyAlignment="1">
      <alignment horizontal="left" vertical="top" wrapText="1"/>
    </xf>
    <xf numFmtId="3" fontId="6" fillId="9" borderId="13" xfId="0" applyNumberFormat="1" applyFont="1" applyFill="1" applyBorder="1" applyAlignment="1">
      <alignment horizontal="right" vertical="top" wrapText="1"/>
    </xf>
    <xf numFmtId="166" fontId="6" fillId="9" borderId="49" xfId="0" applyNumberFormat="1" applyFont="1" applyFill="1" applyBorder="1" applyAlignment="1">
      <alignment horizontal="center" vertical="top"/>
    </xf>
    <xf numFmtId="166" fontId="6" fillId="9" borderId="40"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3" fontId="19" fillId="6" borderId="25" xfId="0" applyNumberFormat="1" applyFont="1" applyFill="1" applyBorder="1" applyAlignment="1">
      <alignment horizontal="left" vertical="top" wrapText="1"/>
    </xf>
    <xf numFmtId="3" fontId="10" fillId="0" borderId="14"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165" fontId="4" fillId="6" borderId="50" xfId="0" applyNumberFormat="1" applyFont="1" applyFill="1" applyBorder="1" applyAlignment="1">
      <alignment horizontal="left" vertical="top" wrapText="1"/>
    </xf>
    <xf numFmtId="0" fontId="20" fillId="6" borderId="14" xfId="0" applyFont="1" applyFill="1" applyBorder="1" applyAlignment="1">
      <alignment vertical="top" wrapText="1"/>
    </xf>
    <xf numFmtId="0" fontId="0" fillId="6" borderId="14" xfId="0" applyFill="1" applyBorder="1" applyAlignment="1">
      <alignment vertical="top" wrapText="1"/>
    </xf>
    <xf numFmtId="3" fontId="4" fillId="6" borderId="84" xfId="0" applyNumberFormat="1" applyFont="1" applyFill="1" applyBorder="1" applyAlignment="1">
      <alignment horizontal="center" vertical="top"/>
    </xf>
    <xf numFmtId="0" fontId="4" fillId="6" borderId="58" xfId="0" applyFont="1" applyFill="1" applyBorder="1" applyAlignment="1">
      <alignment horizontal="center" vertical="top"/>
    </xf>
    <xf numFmtId="0" fontId="4" fillId="0" borderId="30" xfId="0" applyNumberFormat="1" applyFont="1" applyBorder="1" applyAlignment="1">
      <alignment horizontal="center" vertical="top"/>
    </xf>
    <xf numFmtId="0" fontId="4" fillId="6" borderId="0" xfId="0" applyNumberFormat="1" applyFont="1" applyFill="1" applyBorder="1" applyAlignment="1">
      <alignment horizontal="center" vertical="top"/>
    </xf>
    <xf numFmtId="3" fontId="4" fillId="6" borderId="92" xfId="0" applyNumberFormat="1" applyFont="1" applyFill="1" applyBorder="1" applyAlignment="1">
      <alignment horizontal="center" vertical="top"/>
    </xf>
    <xf numFmtId="3" fontId="4" fillId="0" borderId="93" xfId="0" applyNumberFormat="1" applyFont="1" applyFill="1" applyBorder="1" applyAlignment="1">
      <alignment horizontal="center" vertical="top"/>
    </xf>
    <xf numFmtId="49" fontId="4" fillId="6" borderId="92" xfId="0" applyNumberFormat="1" applyFont="1" applyFill="1" applyBorder="1" applyAlignment="1">
      <alignment horizontal="center" vertical="top"/>
    </xf>
    <xf numFmtId="3" fontId="4" fillId="0" borderId="91"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10" fillId="8" borderId="12" xfId="0" applyNumberFormat="1" applyFont="1" applyFill="1" applyBorder="1" applyAlignment="1">
      <alignment horizontal="center" vertical="top"/>
    </xf>
    <xf numFmtId="3" fontId="4" fillId="6" borderId="93" xfId="0" applyNumberFormat="1" applyFont="1" applyFill="1" applyBorder="1" applyAlignment="1">
      <alignment horizontal="center" vertical="top"/>
    </xf>
    <xf numFmtId="3" fontId="10" fillId="6" borderId="16"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166" fontId="4" fillId="6" borderId="19" xfId="0" applyNumberFormat="1" applyFont="1" applyFill="1" applyBorder="1" applyAlignment="1">
      <alignment horizontal="center" vertical="top"/>
    </xf>
    <xf numFmtId="166" fontId="6" fillId="9" borderId="0" xfId="0" applyNumberFormat="1" applyFont="1" applyFill="1" applyBorder="1" applyAlignment="1">
      <alignment horizontal="center" vertical="top"/>
    </xf>
    <xf numFmtId="3" fontId="4" fillId="0" borderId="80" xfId="0" applyNumberFormat="1" applyFont="1" applyBorder="1" applyAlignment="1">
      <alignment horizontal="center" vertical="top"/>
    </xf>
    <xf numFmtId="0" fontId="12" fillId="6" borderId="39" xfId="0" applyFont="1" applyFill="1" applyBorder="1" applyAlignment="1">
      <alignment horizontal="center" vertical="top"/>
    </xf>
    <xf numFmtId="0" fontId="12" fillId="6" borderId="58" xfId="0" applyFont="1" applyFill="1" applyBorder="1" applyAlignment="1">
      <alignment horizontal="center" vertical="top"/>
    </xf>
    <xf numFmtId="3" fontId="10" fillId="6" borderId="39" xfId="0" applyNumberFormat="1" applyFont="1" applyFill="1" applyBorder="1" applyAlignment="1">
      <alignment horizontal="center" vertical="top"/>
    </xf>
    <xf numFmtId="166" fontId="6" fillId="5" borderId="72" xfId="0" applyNumberFormat="1" applyFont="1" applyFill="1" applyBorder="1" applyAlignment="1">
      <alignment horizontal="center" vertical="top"/>
    </xf>
    <xf numFmtId="3" fontId="4" fillId="0" borderId="80" xfId="0" applyNumberFormat="1" applyFont="1" applyFill="1" applyBorder="1" applyAlignment="1">
      <alignment horizontal="center" vertical="top"/>
    </xf>
    <xf numFmtId="0" fontId="4" fillId="6" borderId="90" xfId="0" applyFont="1" applyFill="1" applyBorder="1" applyAlignment="1">
      <alignment horizontal="center" vertical="top"/>
    </xf>
    <xf numFmtId="0" fontId="4" fillId="6" borderId="92" xfId="0" applyFont="1" applyFill="1" applyBorder="1" applyAlignment="1">
      <alignment horizontal="center" vertical="top"/>
    </xf>
    <xf numFmtId="3" fontId="4" fillId="6" borderId="102" xfId="0" applyNumberFormat="1" applyFont="1" applyFill="1" applyBorder="1" applyAlignment="1">
      <alignment horizontal="center" vertical="top"/>
    </xf>
    <xf numFmtId="3" fontId="5" fillId="9" borderId="29" xfId="0" applyNumberFormat="1" applyFont="1" applyFill="1" applyBorder="1" applyAlignment="1">
      <alignment horizontal="center" vertical="top" wrapText="1"/>
    </xf>
    <xf numFmtId="0" fontId="4" fillId="0" borderId="62" xfId="0" applyNumberFormat="1" applyFont="1" applyBorder="1" applyAlignment="1">
      <alignment horizontal="center" vertical="top"/>
    </xf>
    <xf numFmtId="166" fontId="19" fillId="6" borderId="67" xfId="0" applyNumberFormat="1" applyFont="1" applyFill="1" applyBorder="1" applyAlignment="1">
      <alignment horizontal="center" vertical="center"/>
    </xf>
    <xf numFmtId="166" fontId="4" fillId="6" borderId="10" xfId="0" applyNumberFormat="1" applyFont="1" applyFill="1" applyBorder="1" applyAlignment="1">
      <alignment horizontal="center" vertical="center"/>
    </xf>
    <xf numFmtId="166" fontId="4" fillId="6" borderId="47" xfId="0" applyNumberFormat="1" applyFont="1" applyFill="1" applyBorder="1" applyAlignment="1">
      <alignment horizontal="center" vertical="top"/>
    </xf>
    <xf numFmtId="166" fontId="4" fillId="6" borderId="15" xfId="0" applyNumberFormat="1" applyFont="1" applyFill="1" applyBorder="1" applyAlignment="1">
      <alignment horizontal="center" vertical="center"/>
    </xf>
    <xf numFmtId="0" fontId="0" fillId="6" borderId="14" xfId="0" applyFill="1" applyBorder="1" applyAlignment="1">
      <alignment horizontal="left" vertical="top" wrapText="1"/>
    </xf>
    <xf numFmtId="3" fontId="6" fillId="9" borderId="24" xfId="0" applyNumberFormat="1" applyFont="1" applyFill="1" applyBorder="1" applyAlignment="1">
      <alignment horizontal="right" vertical="top"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49" fontId="6" fillId="5" borderId="3"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7" xfId="0" applyFont="1" applyFill="1" applyBorder="1" applyAlignment="1">
      <alignment vertical="top" wrapText="1"/>
    </xf>
    <xf numFmtId="0" fontId="4" fillId="6" borderId="13" xfId="0" applyFont="1" applyFill="1" applyBorder="1" applyAlignment="1">
      <alignment vertical="top" wrapText="1"/>
    </xf>
    <xf numFmtId="3" fontId="6" fillId="6" borderId="3"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6" fillId="6" borderId="3" xfId="0" applyNumberFormat="1" applyFont="1" applyFill="1" applyBorder="1" applyAlignment="1">
      <alignment horizontal="left" vertical="top" wrapText="1"/>
    </xf>
    <xf numFmtId="0" fontId="6" fillId="6" borderId="11" xfId="0"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0" fontId="20" fillId="6" borderId="14" xfId="0" applyFont="1" applyFill="1" applyBorder="1" applyAlignment="1">
      <alignment horizontal="left" vertical="top" wrapText="1"/>
    </xf>
    <xf numFmtId="3" fontId="4" fillId="0" borderId="4" xfId="0" applyNumberFormat="1" applyFont="1" applyBorder="1" applyAlignment="1">
      <alignment horizontal="center" vertical="top"/>
    </xf>
    <xf numFmtId="3" fontId="4" fillId="0" borderId="23" xfId="0" applyNumberFormat="1" applyFont="1" applyBorder="1" applyAlignment="1">
      <alignment horizontal="center" vertical="top"/>
    </xf>
    <xf numFmtId="0" fontId="4" fillId="6" borderId="11" xfId="0" applyFont="1" applyFill="1" applyBorder="1" applyAlignment="1">
      <alignment vertical="top" wrapText="1"/>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0" borderId="64"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0" fontId="4" fillId="10" borderId="51" xfId="0" applyFont="1" applyFill="1" applyBorder="1" applyAlignment="1">
      <alignment horizontal="center" vertical="top"/>
    </xf>
    <xf numFmtId="166" fontId="4" fillId="6" borderId="51" xfId="0" applyNumberFormat="1" applyFont="1" applyFill="1" applyBorder="1" applyAlignment="1">
      <alignment horizontal="center" vertical="top"/>
    </xf>
    <xf numFmtId="166" fontId="19" fillId="6" borderId="96" xfId="0" applyNumberFormat="1" applyFont="1" applyFill="1" applyBorder="1" applyAlignment="1">
      <alignment horizontal="center" vertical="top"/>
    </xf>
    <xf numFmtId="166" fontId="19" fillId="6" borderId="95" xfId="0" applyNumberFormat="1" applyFont="1" applyFill="1" applyBorder="1" applyAlignment="1">
      <alignment horizontal="center" vertical="top"/>
    </xf>
    <xf numFmtId="166" fontId="4" fillId="6" borderId="79" xfId="0" applyNumberFormat="1" applyFont="1" applyFill="1" applyBorder="1" applyAlignment="1">
      <alignment horizontal="center" vertical="top"/>
    </xf>
    <xf numFmtId="166" fontId="4" fillId="6" borderId="96" xfId="0" applyNumberFormat="1" applyFont="1" applyFill="1" applyBorder="1" applyAlignment="1">
      <alignment horizontal="center" vertical="top"/>
    </xf>
    <xf numFmtId="166" fontId="4" fillId="6" borderId="95" xfId="0" applyNumberFormat="1" applyFont="1" applyFill="1" applyBorder="1" applyAlignment="1">
      <alignment horizontal="center" vertical="top"/>
    </xf>
    <xf numFmtId="3" fontId="4" fillId="6" borderId="83" xfId="0" applyNumberFormat="1" applyFont="1" applyFill="1" applyBorder="1" applyAlignment="1">
      <alignment vertical="top" wrapText="1"/>
    </xf>
    <xf numFmtId="3" fontId="4" fillId="6" borderId="56" xfId="0" applyNumberFormat="1" applyFont="1" applyFill="1" applyBorder="1" applyAlignment="1">
      <alignment horizontal="center" vertical="top" wrapText="1"/>
    </xf>
    <xf numFmtId="166" fontId="4" fillId="6" borderId="56"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166" fontId="4" fillId="6" borderId="116" xfId="0" applyNumberFormat="1" applyFont="1" applyFill="1" applyBorder="1" applyAlignment="1">
      <alignment horizontal="center" vertical="top"/>
    </xf>
    <xf numFmtId="166" fontId="19" fillId="6" borderId="56" xfId="0" applyNumberFormat="1" applyFont="1" applyFill="1" applyBorder="1" applyAlignment="1">
      <alignment horizontal="center" vertical="top"/>
    </xf>
    <xf numFmtId="166" fontId="19" fillId="6" borderId="89" xfId="0" applyNumberFormat="1" applyFont="1" applyFill="1" applyBorder="1" applyAlignment="1">
      <alignment horizontal="center" vertical="top"/>
    </xf>
    <xf numFmtId="166" fontId="19" fillId="6" borderId="116" xfId="0" applyNumberFormat="1" applyFont="1" applyFill="1" applyBorder="1" applyAlignment="1">
      <alignment horizontal="center" vertical="top"/>
    </xf>
    <xf numFmtId="166" fontId="33" fillId="9" borderId="87" xfId="0" applyNumberFormat="1" applyFont="1" applyFill="1" applyBorder="1" applyAlignment="1">
      <alignment horizontal="center" vertical="top"/>
    </xf>
    <xf numFmtId="0" fontId="20" fillId="6" borderId="108" xfId="0" applyFont="1" applyFill="1" applyBorder="1" applyAlignment="1">
      <alignment vertical="top" wrapText="1"/>
    </xf>
    <xf numFmtId="3" fontId="4" fillId="6" borderId="108" xfId="0" applyNumberFormat="1" applyFont="1" applyFill="1" applyBorder="1" applyAlignment="1">
      <alignment horizontal="left" vertical="top" wrapText="1"/>
    </xf>
    <xf numFmtId="166" fontId="19" fillId="6" borderId="3" xfId="0" applyNumberFormat="1" applyFont="1" applyFill="1" applyBorder="1" applyAlignment="1">
      <alignment horizontal="center" vertical="top"/>
    </xf>
    <xf numFmtId="0" fontId="4" fillId="6" borderId="38" xfId="0" applyFont="1" applyFill="1" applyBorder="1" applyAlignment="1">
      <alignment horizontal="center" vertical="top" wrapText="1"/>
    </xf>
    <xf numFmtId="166" fontId="19" fillId="6" borderId="40" xfId="0" applyNumberFormat="1" applyFont="1" applyFill="1" applyBorder="1" applyAlignment="1">
      <alignment horizontal="center" vertical="top"/>
    </xf>
    <xf numFmtId="166" fontId="19" fillId="6" borderId="67" xfId="0" applyNumberFormat="1" applyFont="1" applyFill="1" applyBorder="1" applyAlignment="1">
      <alignment horizontal="center" vertical="top"/>
    </xf>
    <xf numFmtId="166" fontId="5" fillId="6" borderId="31" xfId="0" applyNumberFormat="1" applyFont="1" applyFill="1" applyBorder="1" applyAlignment="1">
      <alignment horizontal="center" vertical="top"/>
    </xf>
    <xf numFmtId="166" fontId="29" fillId="6" borderId="19" xfId="0" applyNumberFormat="1" applyFont="1" applyFill="1" applyBorder="1" applyAlignment="1">
      <alignment horizontal="center" vertical="top"/>
    </xf>
    <xf numFmtId="166" fontId="29" fillId="6" borderId="52" xfId="0" applyNumberFormat="1" applyFont="1" applyFill="1" applyBorder="1" applyAlignment="1">
      <alignment horizontal="center" vertical="top"/>
    </xf>
    <xf numFmtId="166" fontId="29" fillId="6" borderId="31" xfId="0" applyNumberFormat="1" applyFont="1" applyFill="1" applyBorder="1" applyAlignment="1">
      <alignment horizontal="center" vertical="top"/>
    </xf>
    <xf numFmtId="166" fontId="29" fillId="6" borderId="20" xfId="0" applyNumberFormat="1" applyFont="1" applyFill="1" applyBorder="1" applyAlignment="1">
      <alignment horizontal="center" vertical="top"/>
    </xf>
    <xf numFmtId="166" fontId="23" fillId="6" borderId="52" xfId="0" applyNumberFormat="1" applyFont="1" applyFill="1" applyBorder="1" applyAlignment="1">
      <alignment horizontal="center" vertical="top"/>
    </xf>
    <xf numFmtId="166" fontId="23" fillId="6" borderId="20" xfId="0" applyNumberFormat="1" applyFont="1" applyFill="1" applyBorder="1" applyAlignment="1">
      <alignment horizontal="center" vertical="top"/>
    </xf>
    <xf numFmtId="3" fontId="19" fillId="6" borderId="96" xfId="0" applyNumberFormat="1" applyFont="1" applyFill="1" applyBorder="1" applyAlignment="1">
      <alignment horizontal="center" vertical="top"/>
    </xf>
    <xf numFmtId="0" fontId="4" fillId="6" borderId="98" xfId="0" applyNumberFormat="1" applyFont="1" applyFill="1" applyBorder="1" applyAlignment="1">
      <alignment horizontal="center" vertical="top"/>
    </xf>
    <xf numFmtId="166" fontId="5" fillId="6" borderId="61" xfId="0" applyNumberFormat="1" applyFont="1" applyFill="1" applyBorder="1" applyAlignment="1">
      <alignment horizontal="right" vertical="top"/>
    </xf>
    <xf numFmtId="166" fontId="5" fillId="6" borderId="84" xfId="0" applyNumberFormat="1" applyFont="1" applyFill="1" applyBorder="1" applyAlignment="1">
      <alignment horizontal="right" vertical="top"/>
    </xf>
    <xf numFmtId="166" fontId="5" fillId="6" borderId="8" xfId="0" applyNumberFormat="1" applyFont="1" applyFill="1" applyBorder="1" applyAlignment="1">
      <alignment horizontal="right" vertical="top"/>
    </xf>
    <xf numFmtId="49" fontId="19" fillId="0" borderId="89" xfId="0" applyNumberFormat="1" applyFont="1" applyBorder="1" applyAlignment="1">
      <alignment horizontal="center" vertical="top" wrapText="1"/>
    </xf>
    <xf numFmtId="0" fontId="4" fillId="6" borderId="53"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10" xfId="0" applyNumberFormat="1" applyFont="1" applyFill="1" applyBorder="1" applyAlignment="1">
      <alignment vertical="top" wrapText="1"/>
    </xf>
    <xf numFmtId="49" fontId="6" fillId="6" borderId="11"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49" fontId="6" fillId="6" borderId="1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5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1"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0" fontId="4" fillId="6" borderId="38" xfId="1" applyNumberFormat="1" applyFont="1" applyFill="1" applyBorder="1" applyAlignment="1">
      <alignment horizontal="center" vertical="top" wrapText="1"/>
    </xf>
    <xf numFmtId="49" fontId="6" fillId="6" borderId="1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49" fontId="5" fillId="6" borderId="40" xfId="0" applyNumberFormat="1" applyFont="1" applyFill="1" applyBorder="1" applyAlignment="1">
      <alignment horizontal="center" vertical="top" wrapText="1"/>
    </xf>
    <xf numFmtId="49" fontId="5" fillId="6" borderId="39" xfId="0" applyNumberFormat="1" applyFont="1" applyFill="1" applyBorder="1" applyAlignment="1">
      <alignment horizontal="center" vertical="top" wrapText="1"/>
    </xf>
    <xf numFmtId="49" fontId="5" fillId="6" borderId="67" xfId="0" applyNumberFormat="1" applyFont="1" applyFill="1" applyBorder="1" applyAlignment="1">
      <alignment horizontal="center" vertical="top" wrapText="1"/>
    </xf>
    <xf numFmtId="3" fontId="28" fillId="6" borderId="66" xfId="0" applyNumberFormat="1" applyFont="1" applyFill="1" applyBorder="1" applyAlignment="1">
      <alignment vertical="top" wrapText="1"/>
    </xf>
    <xf numFmtId="49" fontId="5" fillId="6" borderId="12" xfId="0" applyNumberFormat="1" applyFont="1" applyFill="1" applyBorder="1" applyAlignment="1">
      <alignment horizontal="center" vertical="top" wrapText="1"/>
    </xf>
    <xf numFmtId="49" fontId="29" fillId="6" borderId="12" xfId="0" applyNumberFormat="1" applyFont="1" applyFill="1" applyBorder="1" applyAlignment="1">
      <alignment horizontal="center" vertical="top" wrapText="1"/>
    </xf>
    <xf numFmtId="49" fontId="29" fillId="6" borderId="57" xfId="0" applyNumberFormat="1" applyFont="1" applyFill="1" applyBorder="1" applyAlignment="1">
      <alignment horizontal="center" vertical="top" wrapText="1"/>
    </xf>
    <xf numFmtId="49" fontId="29" fillId="6" borderId="3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wrapText="1"/>
    </xf>
    <xf numFmtId="3" fontId="4" fillId="6" borderId="107" xfId="0" applyNumberFormat="1" applyFont="1" applyFill="1" applyBorder="1" applyAlignment="1">
      <alignment horizontal="center" vertical="top" wrapText="1"/>
    </xf>
    <xf numFmtId="3" fontId="22" fillId="6" borderId="66" xfId="0" applyNumberFormat="1" applyFont="1" applyFill="1" applyBorder="1" applyAlignment="1">
      <alignment vertical="top" wrapText="1"/>
    </xf>
    <xf numFmtId="3" fontId="5" fillId="6" borderId="16" xfId="0" applyNumberFormat="1" applyFont="1" applyFill="1" applyBorder="1" applyAlignment="1">
      <alignment horizontal="center" vertical="top" wrapText="1"/>
    </xf>
    <xf numFmtId="0" fontId="16" fillId="6" borderId="11" xfId="0" applyFont="1" applyFill="1" applyBorder="1" applyAlignment="1">
      <alignment vertical="top" wrapText="1"/>
    </xf>
    <xf numFmtId="49" fontId="19" fillId="6" borderId="57" xfId="0" applyNumberFormat="1" applyFont="1" applyFill="1" applyBorder="1" applyAlignment="1">
      <alignment horizontal="center" vertical="top"/>
    </xf>
    <xf numFmtId="0" fontId="20" fillId="0" borderId="57" xfId="0" applyFont="1" applyBorder="1" applyAlignment="1">
      <alignment horizontal="left" vertical="top"/>
    </xf>
    <xf numFmtId="3" fontId="22" fillId="6" borderId="13" xfId="0" applyNumberFormat="1" applyFont="1" applyFill="1" applyBorder="1" applyAlignment="1">
      <alignment horizontal="center" vertical="top"/>
    </xf>
    <xf numFmtId="3" fontId="22" fillId="6" borderId="45" xfId="0" applyNumberFormat="1" applyFont="1" applyFill="1" applyBorder="1" applyAlignment="1">
      <alignment horizontal="center" vertical="top"/>
    </xf>
    <xf numFmtId="166" fontId="22" fillId="6" borderId="14" xfId="0" applyNumberFormat="1" applyFont="1" applyFill="1" applyBorder="1" applyAlignment="1">
      <alignment horizontal="center" vertical="top"/>
    </xf>
    <xf numFmtId="166" fontId="19" fillId="6" borderId="38" xfId="0" applyNumberFormat="1" applyFont="1" applyFill="1" applyBorder="1" applyAlignment="1">
      <alignment horizontal="center" vertical="top" wrapText="1"/>
    </xf>
    <xf numFmtId="3" fontId="22" fillId="6" borderId="39" xfId="0" applyNumberFormat="1" applyFont="1" applyFill="1" applyBorder="1" applyAlignment="1">
      <alignment horizontal="center" vertical="top"/>
    </xf>
    <xf numFmtId="3" fontId="22" fillId="6" borderId="58" xfId="0" applyNumberFormat="1" applyFont="1" applyFill="1" applyBorder="1" applyAlignment="1">
      <alignment horizontal="center" vertical="top"/>
    </xf>
    <xf numFmtId="3" fontId="22" fillId="6" borderId="12" xfId="0" applyNumberFormat="1" applyFont="1" applyFill="1" applyBorder="1" applyAlignment="1">
      <alignment horizontal="center" vertical="top"/>
    </xf>
    <xf numFmtId="3" fontId="30" fillId="6" borderId="39" xfId="0" applyNumberFormat="1" applyFont="1" applyFill="1" applyBorder="1" applyAlignment="1">
      <alignment horizontal="center" vertical="top"/>
    </xf>
    <xf numFmtId="3" fontId="22" fillId="6" borderId="89" xfId="0" applyNumberFormat="1" applyFont="1" applyFill="1" applyBorder="1" applyAlignment="1">
      <alignment horizontal="center" vertical="top"/>
    </xf>
    <xf numFmtId="3" fontId="22" fillId="6" borderId="11" xfId="0" applyNumberFormat="1" applyFont="1" applyFill="1" applyBorder="1" applyAlignment="1">
      <alignment horizontal="center" vertical="top"/>
    </xf>
    <xf numFmtId="3" fontId="22" fillId="6" borderId="57" xfId="0" applyNumberFormat="1" applyFont="1" applyFill="1" applyBorder="1" applyAlignment="1">
      <alignment horizontal="center" vertical="top"/>
    </xf>
    <xf numFmtId="0" fontId="4" fillId="6" borderId="50" xfId="0" applyFont="1" applyFill="1" applyBorder="1" applyAlignment="1">
      <alignment horizontal="center" vertical="top"/>
    </xf>
    <xf numFmtId="0" fontId="4" fillId="6" borderId="94" xfId="0" applyNumberFormat="1" applyFont="1" applyFill="1" applyBorder="1" applyAlignment="1">
      <alignment horizontal="center" vertical="top"/>
    </xf>
    <xf numFmtId="0" fontId="4" fillId="6" borderId="113" xfId="0" applyNumberFormat="1" applyFont="1" applyFill="1" applyBorder="1" applyAlignment="1">
      <alignment horizontal="center" vertical="top"/>
    </xf>
    <xf numFmtId="3" fontId="30" fillId="6" borderId="12" xfId="0" applyNumberFormat="1" applyFont="1" applyFill="1" applyBorder="1" applyAlignment="1">
      <alignment vertical="top" wrapText="1"/>
    </xf>
    <xf numFmtId="3" fontId="22" fillId="6" borderId="49" xfId="0" applyNumberFormat="1" applyFont="1" applyFill="1" applyBorder="1" applyAlignment="1">
      <alignment horizontal="center" vertical="top"/>
    </xf>
    <xf numFmtId="166" fontId="30" fillId="6" borderId="50" xfId="0" applyNumberFormat="1" applyFont="1" applyFill="1" applyBorder="1" applyAlignment="1">
      <alignment horizontal="center" vertical="top"/>
    </xf>
    <xf numFmtId="3" fontId="22" fillId="6" borderId="15" xfId="0" applyNumberFormat="1" applyFont="1" applyFill="1" applyBorder="1" applyAlignment="1">
      <alignment vertical="top" wrapText="1"/>
    </xf>
    <xf numFmtId="3" fontId="22" fillId="6" borderId="34" xfId="0" applyNumberFormat="1" applyFont="1" applyFill="1" applyBorder="1" applyAlignment="1">
      <alignment horizontal="center" vertical="top"/>
    </xf>
    <xf numFmtId="166" fontId="30" fillId="6" borderId="38" xfId="0" applyNumberFormat="1" applyFont="1" applyFill="1" applyBorder="1" applyAlignment="1">
      <alignment horizontal="center" vertical="top"/>
    </xf>
    <xf numFmtId="166" fontId="30" fillId="6" borderId="35"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3" fontId="4" fillId="6" borderId="56" xfId="0" applyNumberFormat="1" applyFont="1" applyFill="1" applyBorder="1" applyAlignment="1">
      <alignment vertical="top" wrapText="1"/>
    </xf>
    <xf numFmtId="49" fontId="4" fillId="6" borderId="89" xfId="0" applyNumberFormat="1" applyFont="1" applyFill="1" applyBorder="1" applyAlignment="1">
      <alignment horizontal="center" vertical="top"/>
    </xf>
    <xf numFmtId="49" fontId="4" fillId="6" borderId="90" xfId="0" applyNumberFormat="1" applyFont="1" applyFill="1" applyBorder="1" applyAlignment="1">
      <alignment horizontal="center" vertical="top"/>
    </xf>
    <xf numFmtId="49" fontId="4" fillId="6" borderId="104" xfId="0" applyNumberFormat="1" applyFont="1" applyFill="1" applyBorder="1" applyAlignment="1">
      <alignment horizontal="center" vertical="top"/>
    </xf>
    <xf numFmtId="3" fontId="19" fillId="6" borderId="12" xfId="0" applyNumberFormat="1" applyFont="1" applyFill="1" applyBorder="1" applyAlignment="1">
      <alignment horizontal="center" vertical="top" wrapText="1"/>
    </xf>
    <xf numFmtId="3" fontId="19" fillId="6" borderId="58" xfId="0" applyNumberFormat="1" applyFont="1" applyFill="1" applyBorder="1" applyAlignment="1">
      <alignment horizontal="center" vertical="top" wrapText="1"/>
    </xf>
    <xf numFmtId="49" fontId="4" fillId="6" borderId="57" xfId="0" applyNumberFormat="1" applyFont="1" applyFill="1" applyBorder="1" applyAlignment="1">
      <alignment horizontal="center" vertical="top"/>
    </xf>
    <xf numFmtId="49" fontId="4" fillId="6" borderId="58" xfId="0" applyNumberFormat="1" applyFont="1" applyFill="1" applyBorder="1" applyAlignment="1">
      <alignment horizontal="center" vertical="top"/>
    </xf>
    <xf numFmtId="0" fontId="4" fillId="6" borderId="56" xfId="0" applyFont="1" applyFill="1" applyBorder="1" applyAlignment="1">
      <alignment horizontal="center" vertical="top"/>
    </xf>
    <xf numFmtId="166" fontId="4" fillId="6" borderId="117"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0" fontId="4" fillId="10" borderId="97" xfId="0" applyFont="1" applyFill="1" applyBorder="1" applyAlignment="1">
      <alignment horizontal="center" vertical="center"/>
    </xf>
    <xf numFmtId="3" fontId="22" fillId="6" borderId="38" xfId="0" applyNumberFormat="1" applyFont="1" applyFill="1" applyBorder="1" applyAlignment="1">
      <alignment horizontal="center" vertical="top"/>
    </xf>
    <xf numFmtId="166" fontId="22" fillId="6" borderId="38" xfId="0" applyNumberFormat="1" applyFont="1" applyFill="1" applyBorder="1" applyAlignment="1">
      <alignment horizontal="center" vertical="top"/>
    </xf>
    <xf numFmtId="0" fontId="4" fillId="9" borderId="1" xfId="0" applyFont="1" applyFill="1" applyBorder="1" applyAlignment="1">
      <alignment horizontal="left" vertical="top" wrapText="1"/>
    </xf>
    <xf numFmtId="0" fontId="5" fillId="9" borderId="1" xfId="0" applyFont="1" applyFill="1" applyBorder="1" applyAlignment="1">
      <alignment horizontal="center" vertical="center" textRotation="90" wrapText="1"/>
    </xf>
    <xf numFmtId="3" fontId="6" fillId="9" borderId="26" xfId="0" applyNumberFormat="1" applyFont="1" applyFill="1" applyBorder="1" applyAlignment="1">
      <alignment horizontal="center" vertical="top"/>
    </xf>
    <xf numFmtId="0" fontId="22" fillId="6" borderId="39" xfId="0" applyFont="1" applyFill="1" applyBorder="1" applyAlignment="1">
      <alignment horizontal="center" vertical="top"/>
    </xf>
    <xf numFmtId="3" fontId="37" fillId="6" borderId="11" xfId="0" applyNumberFormat="1" applyFont="1" applyFill="1" applyBorder="1" applyAlignment="1">
      <alignment horizontal="center" vertical="top" wrapText="1"/>
    </xf>
    <xf numFmtId="166" fontId="30" fillId="6" borderId="49" xfId="0" applyNumberFormat="1" applyFont="1" applyFill="1" applyBorder="1" applyAlignment="1">
      <alignment horizontal="center" vertical="top"/>
    </xf>
    <xf numFmtId="0" fontId="22" fillId="6" borderId="12" xfId="0" applyFont="1" applyFill="1" applyBorder="1" applyAlignment="1">
      <alignment horizontal="center" vertical="top"/>
    </xf>
    <xf numFmtId="166" fontId="30" fillId="6" borderId="59" xfId="0" applyNumberFormat="1" applyFont="1" applyFill="1" applyBorder="1" applyAlignment="1">
      <alignment horizontal="center" vertical="top"/>
    </xf>
    <xf numFmtId="166" fontId="30" fillId="6" borderId="34" xfId="0" applyNumberFormat="1" applyFont="1" applyFill="1" applyBorder="1" applyAlignment="1">
      <alignment horizontal="center" vertical="top"/>
    </xf>
    <xf numFmtId="0" fontId="22" fillId="6" borderId="58" xfId="0" applyFont="1" applyFill="1" applyBorder="1" applyAlignment="1">
      <alignment horizontal="center" vertical="top"/>
    </xf>
    <xf numFmtId="0" fontId="22" fillId="6" borderId="57" xfId="0" applyFont="1" applyFill="1" applyBorder="1" applyAlignment="1">
      <alignment horizontal="center" vertical="top"/>
    </xf>
    <xf numFmtId="3" fontId="22" fillId="6" borderId="42" xfId="0" applyNumberFormat="1" applyFont="1" applyFill="1" applyBorder="1" applyAlignment="1">
      <alignment horizontal="center" vertical="top"/>
    </xf>
    <xf numFmtId="166" fontId="30" fillId="6" borderId="106" xfId="0" applyNumberFormat="1" applyFont="1" applyFill="1" applyBorder="1" applyAlignment="1">
      <alignment horizontal="center" vertical="top"/>
    </xf>
    <xf numFmtId="166" fontId="30" fillId="6" borderId="42" xfId="0" applyNumberFormat="1" applyFont="1" applyFill="1" applyBorder="1" applyAlignment="1">
      <alignment horizontal="center" vertical="top"/>
    </xf>
    <xf numFmtId="166" fontId="30" fillId="6" borderId="44" xfId="0" applyNumberFormat="1" applyFont="1" applyFill="1" applyBorder="1" applyAlignment="1">
      <alignment horizontal="center" vertical="top"/>
    </xf>
    <xf numFmtId="0" fontId="22" fillId="6" borderId="42" xfId="0" applyFont="1" applyFill="1" applyBorder="1" applyAlignment="1">
      <alignment vertical="top" wrapText="1"/>
    </xf>
    <xf numFmtId="0" fontId="22" fillId="6" borderId="93" xfId="0" applyFont="1" applyFill="1" applyBorder="1" applyAlignment="1">
      <alignment horizontal="center" vertical="top"/>
    </xf>
    <xf numFmtId="0" fontId="4" fillId="6" borderId="97" xfId="0" applyFont="1" applyFill="1" applyBorder="1" applyAlignment="1">
      <alignment horizontal="center" vertical="top"/>
    </xf>
    <xf numFmtId="3" fontId="6" fillId="4" borderId="10"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4" fillId="0" borderId="35" xfId="0" applyFont="1" applyBorder="1" applyAlignment="1">
      <alignment vertical="top" wrapText="1"/>
    </xf>
    <xf numFmtId="3" fontId="7" fillId="0" borderId="39" xfId="0" applyNumberFormat="1" applyFont="1" applyFill="1" applyBorder="1" applyAlignment="1">
      <alignment horizontal="center" vertical="center"/>
    </xf>
    <xf numFmtId="3" fontId="39" fillId="6" borderId="40" xfId="0" applyNumberFormat="1" applyFont="1" applyFill="1" applyBorder="1" applyAlignment="1">
      <alignment horizontal="center" vertical="top"/>
    </xf>
    <xf numFmtId="3" fontId="43" fillId="6" borderId="57" xfId="0" applyNumberFormat="1" applyFont="1" applyFill="1" applyBorder="1" applyAlignment="1">
      <alignment horizontal="center" vertical="top" wrapText="1"/>
    </xf>
    <xf numFmtId="3" fontId="41" fillId="6" borderId="34" xfId="0" applyNumberFormat="1" applyFont="1" applyFill="1" applyBorder="1" applyAlignment="1">
      <alignment horizontal="center" vertical="top" wrapText="1"/>
    </xf>
    <xf numFmtId="166" fontId="42" fillId="6" borderId="38" xfId="0" applyNumberFormat="1" applyFont="1" applyFill="1" applyBorder="1" applyAlignment="1">
      <alignment horizontal="center" vertical="top"/>
    </xf>
    <xf numFmtId="166" fontId="42" fillId="6" borderId="37" xfId="0" applyNumberFormat="1" applyFont="1" applyFill="1" applyBorder="1" applyAlignment="1">
      <alignment horizontal="center" vertical="top"/>
    </xf>
    <xf numFmtId="0" fontId="39" fillId="6" borderId="109" xfId="0" applyFont="1" applyFill="1" applyBorder="1" applyAlignment="1">
      <alignment horizontal="left" vertical="top" wrapText="1"/>
    </xf>
    <xf numFmtId="3" fontId="39" fillId="0" borderId="97" xfId="0" applyNumberFormat="1" applyFont="1" applyFill="1" applyBorder="1" applyAlignment="1">
      <alignment horizontal="center" vertical="top"/>
    </xf>
    <xf numFmtId="3" fontId="30" fillId="6" borderId="49" xfId="0" applyNumberFormat="1" applyFont="1" applyFill="1" applyBorder="1" applyAlignment="1">
      <alignment horizontal="center" vertical="top" wrapText="1"/>
    </xf>
    <xf numFmtId="3" fontId="5" fillId="9" borderId="25" xfId="0" applyNumberFormat="1" applyFont="1" applyFill="1" applyBorder="1" applyAlignment="1">
      <alignment horizontal="center" vertical="top" wrapText="1"/>
    </xf>
    <xf numFmtId="3" fontId="40" fillId="6" borderId="40" xfId="0" applyNumberFormat="1" applyFont="1" applyFill="1" applyBorder="1" applyAlignment="1">
      <alignment horizontal="center" vertical="top" wrapText="1"/>
    </xf>
    <xf numFmtId="3" fontId="41" fillId="6" borderId="50" xfId="0" applyNumberFormat="1" applyFont="1" applyFill="1" applyBorder="1" applyAlignment="1">
      <alignment horizontal="left" vertical="top" wrapText="1"/>
    </xf>
    <xf numFmtId="0" fontId="39" fillId="6" borderId="43" xfId="0" applyFont="1" applyFill="1" applyBorder="1" applyAlignment="1">
      <alignment horizontal="left" vertical="top" wrapText="1"/>
    </xf>
    <xf numFmtId="3" fontId="41" fillId="6" borderId="38" xfId="0" applyNumberFormat="1" applyFont="1" applyFill="1" applyBorder="1" applyAlignment="1">
      <alignment horizontal="left" vertical="top" wrapText="1"/>
    </xf>
    <xf numFmtId="3" fontId="10" fillId="0" borderId="94" xfId="0" applyNumberFormat="1" applyFont="1" applyFill="1" applyBorder="1" applyAlignment="1">
      <alignment horizontal="center" vertical="top"/>
    </xf>
    <xf numFmtId="3" fontId="4" fillId="6" borderId="82"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4" fillId="6" borderId="77" xfId="0" applyNumberFormat="1" applyFont="1" applyFill="1" applyBorder="1" applyAlignment="1">
      <alignment horizontal="left" vertical="top" wrapText="1"/>
    </xf>
    <xf numFmtId="166" fontId="4" fillId="0" borderId="50" xfId="0" applyNumberFormat="1" applyFont="1" applyFill="1" applyBorder="1" applyAlignment="1">
      <alignment horizontal="center" vertical="top"/>
    </xf>
    <xf numFmtId="0" fontId="0" fillId="0" borderId="0" xfId="0" applyAlignment="1">
      <alignment vertical="center"/>
    </xf>
    <xf numFmtId="166" fontId="19" fillId="6" borderId="108" xfId="0" applyNumberFormat="1" applyFont="1" applyFill="1" applyBorder="1" applyAlignment="1">
      <alignment horizontal="center" vertical="top"/>
    </xf>
    <xf numFmtId="3" fontId="4" fillId="6" borderId="56" xfId="0" applyNumberFormat="1" applyFont="1" applyFill="1" applyBorder="1" applyAlignment="1">
      <alignment horizontal="center" vertical="top"/>
    </xf>
    <xf numFmtId="3" fontId="4" fillId="6" borderId="118" xfId="0" applyNumberFormat="1" applyFont="1" applyFill="1" applyBorder="1" applyAlignment="1">
      <alignment horizontal="center" vertical="top"/>
    </xf>
    <xf numFmtId="49" fontId="4" fillId="6" borderId="92" xfId="0" applyNumberFormat="1" applyFont="1" applyFill="1" applyBorder="1" applyAlignment="1">
      <alignment vertical="top"/>
    </xf>
    <xf numFmtId="0" fontId="0" fillId="6" borderId="14" xfId="0" applyFill="1" applyBorder="1" applyAlignment="1">
      <alignment horizontal="center" vertical="top" wrapText="1"/>
    </xf>
    <xf numFmtId="0" fontId="22" fillId="6" borderId="40" xfId="0" applyFont="1" applyFill="1" applyBorder="1" applyAlignment="1">
      <alignment vertical="top" wrapText="1"/>
    </xf>
    <xf numFmtId="166" fontId="42" fillId="6" borderId="41" xfId="0" applyNumberFormat="1" applyFont="1" applyFill="1" applyBorder="1" applyAlignment="1">
      <alignment horizontal="center" vertical="top"/>
    </xf>
    <xf numFmtId="0" fontId="4" fillId="6" borderId="89" xfId="0" applyFont="1" applyFill="1" applyBorder="1" applyAlignment="1">
      <alignment vertical="top" wrapText="1"/>
    </xf>
    <xf numFmtId="0" fontId="44" fillId="0" borderId="0" xfId="0" applyFont="1" applyAlignment="1">
      <alignment vertical="center"/>
    </xf>
    <xf numFmtId="0" fontId="33" fillId="0" borderId="0" xfId="0" applyFont="1" applyAlignment="1">
      <alignment vertical="top"/>
    </xf>
    <xf numFmtId="3" fontId="6" fillId="6" borderId="1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22" fillId="6" borderId="10" xfId="0" applyFont="1" applyFill="1" applyBorder="1" applyAlignment="1">
      <alignment horizontal="left" vertical="top" wrapText="1"/>
    </xf>
    <xf numFmtId="3" fontId="6" fillId="9" borderId="12" xfId="0" applyNumberFormat="1" applyFont="1" applyFill="1" applyBorder="1" applyAlignment="1">
      <alignment horizontal="center" vertical="top"/>
    </xf>
    <xf numFmtId="0" fontId="4" fillId="6" borderId="11" xfId="0" applyFont="1" applyFill="1" applyBorder="1" applyAlignment="1">
      <alignment vertical="top" wrapText="1"/>
    </xf>
    <xf numFmtId="0" fontId="4" fillId="6" borderId="79" xfId="0" applyNumberFormat="1" applyFont="1" applyFill="1" applyBorder="1" applyAlignment="1">
      <alignment horizontal="center" vertical="top"/>
    </xf>
    <xf numFmtId="0" fontId="22" fillId="6" borderId="109" xfId="0" applyFont="1" applyFill="1" applyBorder="1" applyAlignment="1">
      <alignment horizontal="left" vertical="top" wrapText="1"/>
    </xf>
    <xf numFmtId="3" fontId="22" fillId="0" borderId="97" xfId="0" applyNumberFormat="1" applyFont="1" applyFill="1" applyBorder="1" applyAlignment="1">
      <alignment horizontal="center" vertical="top"/>
    </xf>
    <xf numFmtId="0" fontId="4" fillId="6" borderId="36" xfId="0" applyNumberFormat="1" applyFont="1" applyFill="1" applyBorder="1" applyAlignment="1">
      <alignment horizontal="center" vertical="top"/>
    </xf>
    <xf numFmtId="0" fontId="4" fillId="6" borderId="40" xfId="0" applyNumberFormat="1" applyFont="1" applyFill="1" applyBorder="1" applyAlignment="1">
      <alignment horizontal="center" vertical="top"/>
    </xf>
    <xf numFmtId="0" fontId="4" fillId="0" borderId="13" xfId="0" applyFont="1" applyBorder="1" applyAlignment="1">
      <alignment vertical="top"/>
    </xf>
    <xf numFmtId="0" fontId="0" fillId="0" borderId="13" xfId="0" applyBorder="1" applyAlignment="1">
      <alignment vertical="top"/>
    </xf>
    <xf numFmtId="3" fontId="4" fillId="6" borderId="51" xfId="0" applyNumberFormat="1" applyFont="1" applyFill="1" applyBorder="1" applyAlignment="1">
      <alignment horizontal="center" vertical="top" wrapText="1"/>
    </xf>
    <xf numFmtId="0" fontId="0" fillId="0" borderId="0" xfId="0" applyAlignment="1">
      <alignment horizontal="left" vertical="center" indent="5"/>
    </xf>
    <xf numFmtId="0" fontId="20" fillId="0" borderId="0" xfId="0" applyFont="1" applyAlignment="1">
      <alignment vertical="center"/>
    </xf>
    <xf numFmtId="3" fontId="4" fillId="6" borderId="82"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0" fontId="4" fillId="6" borderId="47"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9" borderId="11"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49" fontId="4" fillId="6" borderId="39" xfId="0" applyNumberFormat="1" applyFont="1" applyFill="1" applyBorder="1" applyAlignment="1">
      <alignment horizontal="center" vertical="top"/>
    </xf>
    <xf numFmtId="0" fontId="22" fillId="6" borderId="11" xfId="0" applyFont="1" applyFill="1" applyBorder="1" applyAlignment="1">
      <alignment horizontal="center" vertical="top"/>
    </xf>
    <xf numFmtId="49" fontId="4" fillId="6" borderId="12" xfId="0" applyNumberFormat="1" applyFont="1" applyFill="1" applyBorder="1" applyAlignment="1">
      <alignment horizontal="center" vertical="top"/>
    </xf>
    <xf numFmtId="0" fontId="4" fillId="6" borderId="38" xfId="0" applyFont="1" applyFill="1" applyBorder="1" applyAlignment="1">
      <alignment vertical="top"/>
    </xf>
    <xf numFmtId="166" fontId="4" fillId="6" borderId="15" xfId="0" applyNumberFormat="1" applyFont="1" applyFill="1" applyBorder="1" applyAlignment="1">
      <alignment horizontal="center" vertical="top" wrapText="1"/>
    </xf>
    <xf numFmtId="166" fontId="4" fillId="6" borderId="10" xfId="0" applyNumberFormat="1" applyFont="1" applyFill="1" applyBorder="1" applyAlignment="1">
      <alignment horizontal="left" vertical="top" wrapText="1"/>
    </xf>
    <xf numFmtId="0" fontId="4" fillId="6" borderId="109" xfId="0" applyFont="1" applyFill="1" applyBorder="1" applyAlignment="1">
      <alignment horizontal="left" vertical="top" wrapText="1"/>
    </xf>
    <xf numFmtId="3" fontId="4" fillId="6" borderId="97" xfId="0" applyNumberFormat="1" applyFont="1" applyFill="1" applyBorder="1" applyAlignment="1">
      <alignment horizontal="center" vertical="top"/>
    </xf>
    <xf numFmtId="0" fontId="4" fillId="6" borderId="110" xfId="0" applyFont="1" applyFill="1" applyBorder="1" applyAlignment="1">
      <alignment vertical="top" wrapText="1"/>
    </xf>
    <xf numFmtId="3" fontId="4" fillId="6" borderId="94"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 fillId="6" borderId="79" xfId="0" applyNumberFormat="1" applyFont="1" applyFill="1" applyBorder="1" applyAlignment="1">
      <alignment vertical="top" wrapText="1"/>
    </xf>
    <xf numFmtId="0" fontId="4" fillId="6" borderId="11" xfId="0" applyFont="1" applyFill="1" applyBorder="1" applyAlignment="1">
      <alignment horizontal="left" vertical="top" wrapText="1"/>
    </xf>
    <xf numFmtId="0" fontId="22" fillId="6" borderId="33" xfId="0" applyFont="1" applyFill="1" applyBorder="1" applyAlignment="1">
      <alignment horizontal="center" vertical="top"/>
    </xf>
    <xf numFmtId="49" fontId="6" fillId="6" borderId="11" xfId="0" applyNumberFormat="1" applyFont="1" applyFill="1" applyBorder="1" applyAlignment="1">
      <alignment horizontal="center" vertical="top"/>
    </xf>
    <xf numFmtId="0" fontId="4" fillId="6" borderId="15" xfId="0" applyFont="1" applyFill="1" applyBorder="1" applyAlignment="1">
      <alignment horizontal="lef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49" fontId="7" fillId="11" borderId="40" xfId="0" applyNumberFormat="1" applyFont="1" applyFill="1" applyBorder="1" applyAlignment="1">
      <alignment horizontal="center" vertical="center" wrapText="1"/>
    </xf>
    <xf numFmtId="49" fontId="6" fillId="6" borderId="57" xfId="0" applyNumberFormat="1" applyFont="1" applyFill="1" applyBorder="1" applyAlignment="1">
      <alignment horizontal="center" vertical="top"/>
    </xf>
    <xf numFmtId="3" fontId="22" fillId="6" borderId="14" xfId="0" applyNumberFormat="1" applyFont="1" applyFill="1" applyBorder="1" applyAlignment="1">
      <alignment horizontal="center" vertical="top"/>
    </xf>
    <xf numFmtId="49" fontId="6" fillId="9" borderId="4" xfId="0" applyNumberFormat="1" applyFont="1" applyFill="1" applyBorder="1" applyAlignment="1">
      <alignment horizontal="center" vertical="top"/>
    </xf>
    <xf numFmtId="49" fontId="4" fillId="9" borderId="65" xfId="0" applyNumberFormat="1" applyFont="1" applyFill="1" applyBorder="1" applyAlignment="1">
      <alignment horizontal="center" vertical="top" wrapText="1"/>
    </xf>
    <xf numFmtId="49" fontId="6" fillId="6" borderId="40" xfId="0" applyNumberFormat="1" applyFont="1" applyFill="1" applyBorder="1" applyAlignment="1">
      <alignment vertical="top"/>
    </xf>
    <xf numFmtId="49" fontId="6" fillId="6" borderId="57" xfId="0" applyNumberFormat="1" applyFont="1" applyFill="1" applyBorder="1" applyAlignment="1">
      <alignment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0" borderId="21" xfId="0" applyNumberFormat="1" applyFont="1" applyBorder="1" applyAlignment="1">
      <alignment vertical="top"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12" xfId="0" applyNumberFormat="1" applyFont="1" applyFill="1" applyBorder="1" applyAlignment="1">
      <alignment horizontal="center" vertical="top"/>
    </xf>
    <xf numFmtId="0" fontId="16" fillId="6" borderId="14" xfId="0" applyFont="1" applyFill="1" applyBorder="1" applyAlignment="1">
      <alignment vertical="top" wrapText="1"/>
    </xf>
    <xf numFmtId="0" fontId="19" fillId="0" borderId="0" xfId="0" applyFont="1" applyAlignment="1">
      <alignment vertical="top"/>
    </xf>
    <xf numFmtId="3" fontId="4" fillId="6" borderId="15" xfId="0" applyNumberFormat="1" applyFont="1" applyFill="1" applyBorder="1" applyAlignment="1">
      <alignment vertical="top" wrapText="1"/>
    </xf>
    <xf numFmtId="3" fontId="4" fillId="6" borderId="55" xfId="0" applyNumberFormat="1" applyFont="1" applyFill="1" applyBorder="1" applyAlignment="1">
      <alignment horizontal="center" vertical="top"/>
    </xf>
    <xf numFmtId="3" fontId="5" fillId="6" borderId="57" xfId="0" applyNumberFormat="1" applyFont="1" applyFill="1" applyBorder="1" applyAlignment="1">
      <alignment vertical="top" wrapText="1"/>
    </xf>
    <xf numFmtId="3" fontId="5" fillId="11" borderId="57" xfId="0" applyNumberFormat="1" applyFont="1" applyFill="1" applyBorder="1" applyAlignment="1">
      <alignment vertical="top" wrapText="1"/>
    </xf>
    <xf numFmtId="3" fontId="6" fillId="11" borderId="11" xfId="0" applyNumberFormat="1" applyFont="1" applyFill="1" applyBorder="1" applyAlignment="1">
      <alignment horizontal="center" vertical="top" wrapText="1"/>
    </xf>
    <xf numFmtId="49" fontId="7" fillId="12" borderId="57" xfId="0" applyNumberFormat="1" applyFont="1" applyFill="1" applyBorder="1" applyAlignment="1">
      <alignment horizontal="center" vertical="center" wrapText="1"/>
    </xf>
    <xf numFmtId="49" fontId="6" fillId="12" borderId="40" xfId="0" applyNumberFormat="1" applyFont="1" applyFill="1" applyBorder="1" applyAlignment="1">
      <alignment horizontal="center" vertical="center" wrapText="1"/>
    </xf>
    <xf numFmtId="0" fontId="4" fillId="0" borderId="13" xfId="0" applyFont="1" applyBorder="1" applyAlignment="1">
      <alignment vertical="top" wrapText="1"/>
    </xf>
    <xf numFmtId="3" fontId="6" fillId="6" borderId="12"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49" fontId="6" fillId="6" borderId="40"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38" fillId="12" borderId="40" xfId="0" applyNumberFormat="1" applyFont="1" applyFill="1" applyBorder="1" applyAlignment="1">
      <alignment horizontal="center" vertical="top" wrapText="1"/>
    </xf>
    <xf numFmtId="49" fontId="4" fillId="6" borderId="111"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166" fontId="5" fillId="6" borderId="59" xfId="0" applyNumberFormat="1" applyFont="1" applyFill="1" applyBorder="1" applyAlignment="1">
      <alignment horizontal="center" vertical="top"/>
    </xf>
    <xf numFmtId="0" fontId="22" fillId="6" borderId="45" xfId="0" applyFont="1" applyFill="1" applyBorder="1" applyAlignment="1">
      <alignment horizontal="center" vertical="top"/>
    </xf>
    <xf numFmtId="0" fontId="4" fillId="11" borderId="52" xfId="0" applyFont="1" applyFill="1" applyBorder="1" applyAlignment="1">
      <alignment horizontal="left" vertical="top" wrapText="1"/>
    </xf>
    <xf numFmtId="49" fontId="7" fillId="11" borderId="52" xfId="0" applyNumberFormat="1" applyFont="1" applyFill="1" applyBorder="1" applyAlignment="1">
      <alignment horizontal="center" vertical="center" wrapText="1"/>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0" fontId="4" fillId="6" borderId="11" xfId="0" applyFont="1" applyFill="1" applyBorder="1" applyAlignment="1">
      <alignment vertical="top" wrapText="1"/>
    </xf>
    <xf numFmtId="3" fontId="4" fillId="6" borderId="83" xfId="0" applyNumberFormat="1" applyFont="1" applyFill="1" applyBorder="1" applyAlignment="1">
      <alignment horizontal="left" vertical="top" wrapText="1"/>
    </xf>
    <xf numFmtId="49" fontId="6" fillId="6" borderId="52" xfId="0" applyNumberFormat="1" applyFont="1" applyFill="1" applyBorder="1" applyAlignment="1">
      <alignment vertical="top"/>
    </xf>
    <xf numFmtId="49" fontId="6" fillId="6" borderId="3" xfId="0" applyNumberFormat="1" applyFont="1" applyFill="1" applyBorder="1" applyAlignment="1">
      <alignment horizontal="center" vertical="top"/>
    </xf>
    <xf numFmtId="3" fontId="4" fillId="6" borderId="5" xfId="0" applyNumberFormat="1" applyFont="1" applyFill="1" applyBorder="1" applyAlignment="1">
      <alignment horizontal="center" vertical="top" wrapText="1"/>
    </xf>
    <xf numFmtId="0" fontId="4" fillId="6" borderId="119" xfId="0" applyFont="1" applyFill="1" applyBorder="1" applyAlignment="1">
      <alignment horizontal="left" vertical="top" wrapText="1"/>
    </xf>
    <xf numFmtId="3" fontId="4" fillId="6" borderId="26" xfId="0" applyNumberFormat="1" applyFont="1" applyFill="1" applyBorder="1" applyAlignment="1">
      <alignment horizontal="center" vertical="center" wrapText="1"/>
    </xf>
    <xf numFmtId="0" fontId="22" fillId="6" borderId="23" xfId="0" applyFont="1" applyFill="1" applyBorder="1" applyAlignment="1">
      <alignment horizontal="center" vertical="top"/>
    </xf>
    <xf numFmtId="0" fontId="22" fillId="6" borderId="28" xfId="0" applyFont="1" applyFill="1" applyBorder="1" applyAlignment="1">
      <alignment horizontal="center" vertical="top"/>
    </xf>
    <xf numFmtId="0" fontId="4" fillId="6" borderId="22" xfId="0" applyFont="1" applyFill="1" applyBorder="1" applyAlignment="1">
      <alignment horizontal="left" vertical="top" wrapText="1"/>
    </xf>
    <xf numFmtId="0" fontId="4" fillId="6" borderId="83" xfId="0" applyFont="1" applyFill="1" applyBorder="1" applyAlignment="1">
      <alignment horizontal="left" vertical="top" wrapText="1"/>
    </xf>
    <xf numFmtId="0" fontId="4" fillId="0" borderId="120" xfId="0" applyFont="1" applyFill="1" applyBorder="1" applyAlignment="1">
      <alignment horizontal="center" vertical="top"/>
    </xf>
    <xf numFmtId="0" fontId="4" fillId="6" borderId="120" xfId="0" applyFont="1" applyFill="1" applyBorder="1" applyAlignment="1">
      <alignment horizontal="center" vertical="top"/>
    </xf>
    <xf numFmtId="0" fontId="4" fillId="6" borderId="115" xfId="0" applyFont="1" applyFill="1" applyBorder="1" applyAlignment="1">
      <alignment horizontal="center" vertical="top"/>
    </xf>
    <xf numFmtId="49" fontId="4" fillId="0" borderId="53" xfId="0" applyNumberFormat="1" applyFont="1" applyBorder="1" applyAlignment="1">
      <alignment horizontal="center" vertical="top" wrapText="1"/>
    </xf>
    <xf numFmtId="166" fontId="4" fillId="6" borderId="53" xfId="0" applyNumberFormat="1" applyFont="1" applyFill="1" applyBorder="1" applyAlignment="1">
      <alignment horizontal="center" vertical="top"/>
    </xf>
    <xf numFmtId="0" fontId="4" fillId="6" borderId="53" xfId="0" applyFont="1" applyFill="1" applyBorder="1" applyAlignment="1">
      <alignment horizontal="center" vertical="top"/>
    </xf>
    <xf numFmtId="0" fontId="4" fillId="0" borderId="32" xfId="0" applyFont="1" applyBorder="1" applyAlignment="1">
      <alignment vertical="top" wrapText="1"/>
    </xf>
    <xf numFmtId="0" fontId="4" fillId="10" borderId="52" xfId="0" applyFont="1" applyFill="1" applyBorder="1" applyAlignment="1">
      <alignment horizontal="center" vertical="center"/>
    </xf>
    <xf numFmtId="0" fontId="4" fillId="10" borderId="16" xfId="0" applyFont="1" applyFill="1" applyBorder="1" applyAlignment="1">
      <alignment horizontal="center" vertical="center"/>
    </xf>
    <xf numFmtId="0" fontId="4" fillId="10" borderId="100" xfId="0" applyFont="1" applyFill="1" applyBorder="1" applyAlignment="1">
      <alignment horizontal="center" vertical="center"/>
    </xf>
    <xf numFmtId="3" fontId="19" fillId="0" borderId="0" xfId="0" applyNumberFormat="1" applyFont="1" applyFill="1" applyBorder="1" applyAlignment="1">
      <alignment horizontal="right" vertical="top"/>
    </xf>
    <xf numFmtId="3" fontId="7" fillId="12" borderId="40" xfId="0" applyNumberFormat="1" applyFont="1" applyFill="1" applyBorder="1" applyAlignment="1">
      <alignment horizontal="center" vertical="center"/>
    </xf>
    <xf numFmtId="0" fontId="4" fillId="6" borderId="0" xfId="0" applyFont="1" applyFill="1" applyAlignment="1">
      <alignment vertical="top" wrapText="1"/>
    </xf>
    <xf numFmtId="0" fontId="4" fillId="0" borderId="34" xfId="0" applyFont="1" applyBorder="1" applyAlignment="1">
      <alignment vertical="center" wrapText="1"/>
    </xf>
    <xf numFmtId="0" fontId="4" fillId="6" borderId="48" xfId="0" applyFont="1" applyFill="1" applyBorder="1" applyAlignment="1">
      <alignment horizontal="center" vertical="top"/>
    </xf>
    <xf numFmtId="0" fontId="4" fillId="0" borderId="82" xfId="0" applyFont="1" applyBorder="1" applyAlignment="1">
      <alignment vertical="center" wrapText="1"/>
    </xf>
    <xf numFmtId="165" fontId="4" fillId="6" borderId="18" xfId="0" applyNumberFormat="1" applyFont="1" applyFill="1" applyBorder="1" applyAlignment="1">
      <alignment horizontal="center" vertical="top" wrapText="1"/>
    </xf>
    <xf numFmtId="0" fontId="4" fillId="6" borderId="94" xfId="0" applyFont="1" applyFill="1" applyBorder="1" applyAlignment="1">
      <alignment horizontal="center" vertical="top"/>
    </xf>
    <xf numFmtId="49" fontId="6" fillId="6" borderId="11" xfId="0" applyNumberFormat="1" applyFont="1" applyFill="1" applyBorder="1" applyAlignment="1">
      <alignment horizontal="center" vertical="top"/>
    </xf>
    <xf numFmtId="0" fontId="22" fillId="6" borderId="13" xfId="0" applyFont="1" applyFill="1" applyBorder="1" applyAlignment="1">
      <alignment vertical="top" wrapText="1"/>
    </xf>
    <xf numFmtId="49" fontId="6" fillId="6" borderId="57" xfId="0" applyNumberFormat="1" applyFont="1" applyFill="1" applyBorder="1" applyAlignment="1">
      <alignment horizontal="center" vertical="top"/>
    </xf>
    <xf numFmtId="3" fontId="7" fillId="6" borderId="33" xfId="0" applyNumberFormat="1" applyFont="1" applyFill="1" applyBorder="1" applyAlignment="1">
      <alignment horizontal="center" vertical="top" wrapText="1"/>
    </xf>
    <xf numFmtId="3" fontId="7" fillId="6" borderId="99" xfId="0" applyNumberFormat="1" applyFont="1" applyFill="1" applyBorder="1" applyAlignment="1">
      <alignment horizontal="center" vertical="top" wrapText="1"/>
    </xf>
    <xf numFmtId="0" fontId="4" fillId="6" borderId="45" xfId="0" applyFont="1" applyFill="1" applyBorder="1" applyAlignment="1">
      <alignment horizontal="center" vertical="top"/>
    </xf>
    <xf numFmtId="0" fontId="4" fillId="6" borderId="91" xfId="0" applyFont="1" applyFill="1" applyBorder="1" applyAlignment="1">
      <alignment horizontal="center" vertical="top"/>
    </xf>
    <xf numFmtId="0" fontId="4" fillId="6" borderId="105" xfId="0" applyFont="1" applyFill="1" applyBorder="1" applyAlignment="1">
      <alignment horizontal="center" vertical="top"/>
    </xf>
    <xf numFmtId="0" fontId="4" fillId="6" borderId="113" xfId="0" applyFont="1" applyFill="1" applyBorder="1" applyAlignment="1">
      <alignment horizontal="center" vertical="top"/>
    </xf>
    <xf numFmtId="0" fontId="6" fillId="11" borderId="104" xfId="0" applyFont="1" applyFill="1" applyBorder="1" applyAlignment="1">
      <alignment horizontal="center" vertical="top" wrapText="1"/>
    </xf>
    <xf numFmtId="0" fontId="6" fillId="11" borderId="105" xfId="0" applyFont="1" applyFill="1" applyBorder="1" applyAlignment="1">
      <alignment horizontal="center" vertical="top" wrapText="1"/>
    </xf>
    <xf numFmtId="3" fontId="4" fillId="6" borderId="112"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vertical="top"/>
    </xf>
    <xf numFmtId="3" fontId="4" fillId="6" borderId="82" xfId="0" applyNumberFormat="1"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47" xfId="0" applyFont="1" applyFill="1" applyBorder="1" applyAlignment="1">
      <alignment horizontal="left" vertical="top" wrapText="1"/>
    </xf>
    <xf numFmtId="166" fontId="5" fillId="6" borderId="46" xfId="0" applyNumberFormat="1" applyFont="1" applyFill="1" applyBorder="1" applyAlignment="1">
      <alignment horizontal="center" vertical="top"/>
    </xf>
    <xf numFmtId="166" fontId="5" fillId="6" borderId="48" xfId="0" applyNumberFormat="1" applyFont="1" applyFill="1" applyBorder="1" applyAlignment="1">
      <alignment horizontal="center" vertical="top"/>
    </xf>
    <xf numFmtId="49" fontId="4" fillId="6" borderId="91" xfId="0" applyNumberFormat="1" applyFont="1" applyFill="1" applyBorder="1" applyAlignment="1">
      <alignment horizontal="center" vertical="top"/>
    </xf>
    <xf numFmtId="49" fontId="4" fillId="6" borderId="105"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82" xfId="0" applyNumberFormat="1" applyFont="1" applyFill="1" applyBorder="1" applyAlignment="1">
      <alignment horizontal="left" vertical="top" wrapText="1"/>
    </xf>
    <xf numFmtId="3" fontId="4" fillId="6" borderId="82"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21" xfId="0" applyNumberFormat="1" applyFont="1" applyBorder="1" applyAlignment="1">
      <alignment vertical="top" wrapText="1"/>
    </xf>
    <xf numFmtId="0" fontId="4" fillId="6" borderId="10"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4" fillId="6" borderId="13" xfId="0" applyNumberFormat="1" applyFont="1" applyFill="1" applyBorder="1" applyAlignment="1">
      <alignment vertical="top" wrapText="1"/>
    </xf>
    <xf numFmtId="0" fontId="4" fillId="6" borderId="57" xfId="0" applyFont="1" applyFill="1" applyBorder="1" applyAlignment="1">
      <alignment vertical="top" wrapText="1"/>
    </xf>
    <xf numFmtId="0" fontId="4" fillId="6" borderId="13" xfId="0" applyFont="1" applyFill="1" applyBorder="1" applyAlignment="1">
      <alignment vertical="top" wrapText="1"/>
    </xf>
    <xf numFmtId="3" fontId="6" fillId="0" borderId="0"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3" fontId="27" fillId="6" borderId="0" xfId="0" applyNumberFormat="1" applyFont="1" applyFill="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center" vertical="top"/>
    </xf>
    <xf numFmtId="3" fontId="4" fillId="6" borderId="15" xfId="0" applyNumberFormat="1" applyFont="1" applyFill="1" applyBorder="1" applyAlignment="1">
      <alignment vertical="top" wrapText="1"/>
    </xf>
    <xf numFmtId="0" fontId="4" fillId="6" borderId="11" xfId="0" applyFont="1" applyFill="1" applyBorder="1" applyAlignment="1">
      <alignment vertical="top" wrapText="1"/>
    </xf>
    <xf numFmtId="3" fontId="4" fillId="6" borderId="7"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0" fontId="4" fillId="6" borderId="15" xfId="0"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3" fontId="4" fillId="0" borderId="4" xfId="0" applyNumberFormat="1" applyFont="1" applyBorder="1" applyAlignment="1">
      <alignment horizontal="center" vertical="top"/>
    </xf>
    <xf numFmtId="3" fontId="4" fillId="0" borderId="23" xfId="0" applyNumberFormat="1" applyFont="1" applyBorder="1" applyAlignment="1">
      <alignment horizontal="center" vertical="top"/>
    </xf>
    <xf numFmtId="3" fontId="22" fillId="6" borderId="35" xfId="0" applyNumberFormat="1" applyFont="1" applyFill="1" applyBorder="1" applyAlignment="1">
      <alignment vertical="top" wrapText="1"/>
    </xf>
    <xf numFmtId="0" fontId="4" fillId="6" borderId="53" xfId="0" applyFont="1" applyFill="1" applyBorder="1" applyAlignment="1">
      <alignment horizontal="center" vertical="top"/>
    </xf>
    <xf numFmtId="0" fontId="6" fillId="6" borderId="11" xfId="0"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xf>
    <xf numFmtId="3" fontId="4" fillId="6" borderId="32" xfId="0" applyNumberFormat="1" applyFont="1" applyFill="1" applyBorder="1" applyAlignment="1">
      <alignment horizontal="left" vertical="top" wrapText="1"/>
    </xf>
    <xf numFmtId="165" fontId="4" fillId="6" borderId="16" xfId="0" applyNumberFormat="1" applyFont="1" applyFill="1" applyBorder="1" applyAlignment="1">
      <alignment horizontal="center" vertical="top" wrapText="1"/>
    </xf>
    <xf numFmtId="165" fontId="4" fillId="6" borderId="100" xfId="0" applyNumberFormat="1" applyFont="1" applyFill="1" applyBorder="1" applyAlignment="1">
      <alignment horizontal="center" vertical="top" wrapText="1"/>
    </xf>
    <xf numFmtId="3" fontId="4" fillId="6" borderId="110" xfId="0" applyNumberFormat="1" applyFont="1" applyFill="1" applyBorder="1" applyAlignment="1">
      <alignment vertical="top" wrapText="1"/>
    </xf>
    <xf numFmtId="49" fontId="4" fillId="6" borderId="97" xfId="0" applyNumberFormat="1" applyFont="1" applyFill="1" applyBorder="1" applyAlignment="1">
      <alignment horizontal="center" vertical="top"/>
    </xf>
    <xf numFmtId="49" fontId="4" fillId="6" borderId="94" xfId="0" applyNumberFormat="1" applyFont="1" applyFill="1" applyBorder="1" applyAlignment="1">
      <alignment horizontal="center" vertical="top"/>
    </xf>
    <xf numFmtId="49" fontId="4" fillId="6" borderId="113" xfId="0" applyNumberFormat="1" applyFont="1" applyFill="1" applyBorder="1" applyAlignment="1">
      <alignment horizontal="center" vertical="top"/>
    </xf>
    <xf numFmtId="0" fontId="0" fillId="6" borderId="57" xfId="0" applyFill="1" applyBorder="1" applyAlignment="1">
      <alignment horizontal="center" vertical="center" wrapText="1"/>
    </xf>
    <xf numFmtId="3" fontId="5" fillId="6" borderId="40" xfId="0" applyNumberFormat="1" applyFont="1" applyFill="1" applyBorder="1" applyAlignment="1">
      <alignment horizontal="center" vertical="top" wrapText="1"/>
    </xf>
    <xf numFmtId="3" fontId="4" fillId="6" borderId="81" xfId="0" applyNumberFormat="1" applyFont="1" applyFill="1" applyBorder="1" applyAlignment="1">
      <alignment horizontal="left" vertical="top" wrapText="1"/>
    </xf>
    <xf numFmtId="3" fontId="10" fillId="6" borderId="81" xfId="0" applyNumberFormat="1" applyFont="1" applyFill="1" applyBorder="1" applyAlignment="1">
      <alignment horizontal="center" vertical="top"/>
    </xf>
    <xf numFmtId="3" fontId="10" fillId="6" borderId="29" xfId="0" applyNumberFormat="1" applyFont="1" applyFill="1" applyBorder="1" applyAlignment="1">
      <alignment horizontal="center" vertical="top"/>
    </xf>
    <xf numFmtId="3" fontId="5" fillId="6" borderId="29" xfId="0" applyNumberFormat="1" applyFont="1" applyFill="1" applyBorder="1" applyAlignment="1">
      <alignment horizontal="center" vertical="top" wrapText="1"/>
    </xf>
    <xf numFmtId="3" fontId="4" fillId="0" borderId="34" xfId="0" applyNumberFormat="1" applyFont="1" applyBorder="1" applyAlignment="1">
      <alignment horizontal="center" vertical="top"/>
    </xf>
    <xf numFmtId="3" fontId="4" fillId="6" borderId="13" xfId="0" applyNumberFormat="1" applyFont="1" applyFill="1" applyBorder="1" applyAlignment="1">
      <alignment vertical="top"/>
    </xf>
    <xf numFmtId="3" fontId="4" fillId="6" borderId="34" xfId="0" applyNumberFormat="1" applyFont="1" applyFill="1" applyBorder="1" applyAlignment="1">
      <alignment vertical="top"/>
    </xf>
    <xf numFmtId="0" fontId="16" fillId="0" borderId="0" xfId="0" applyFont="1" applyAlignment="1">
      <alignment horizontal="center"/>
    </xf>
    <xf numFmtId="3" fontId="6" fillId="9" borderId="13" xfId="0" applyNumberFormat="1" applyFont="1" applyFill="1" applyBorder="1" applyAlignment="1">
      <alignment horizontal="center" vertical="top" wrapText="1"/>
    </xf>
    <xf numFmtId="3" fontId="6" fillId="9" borderId="24" xfId="0" applyNumberFormat="1" applyFont="1" applyFill="1" applyBorder="1" applyAlignment="1">
      <alignment horizontal="center" vertical="top" wrapText="1"/>
    </xf>
    <xf numFmtId="3" fontId="7" fillId="6" borderId="39" xfId="0" applyNumberFormat="1" applyFont="1" applyFill="1" applyBorder="1" applyAlignment="1">
      <alignment horizontal="center" vertical="center"/>
    </xf>
    <xf numFmtId="3" fontId="38" fillId="6" borderId="40" xfId="0" applyNumberFormat="1" applyFont="1" applyFill="1" applyBorder="1" applyAlignment="1">
      <alignment horizontal="center" vertical="top" wrapText="1"/>
    </xf>
    <xf numFmtId="3" fontId="4" fillId="6" borderId="42" xfId="0" applyNumberFormat="1" applyFont="1" applyFill="1" applyBorder="1" applyAlignment="1">
      <alignment horizontal="left" vertical="top" wrapText="1"/>
    </xf>
    <xf numFmtId="0" fontId="4" fillId="6" borderId="51" xfId="0" applyFont="1" applyFill="1" applyBorder="1" applyAlignment="1">
      <alignment horizontal="left" vertical="top" wrapText="1"/>
    </xf>
    <xf numFmtId="0" fontId="10" fillId="6" borderId="49" xfId="0" applyFont="1" applyFill="1" applyBorder="1" applyAlignment="1">
      <alignment horizontal="left" vertical="top" wrapText="1"/>
    </xf>
    <xf numFmtId="3" fontId="7" fillId="6" borderId="89" xfId="0" applyNumberFormat="1" applyFont="1" applyFill="1" applyBorder="1" applyAlignment="1">
      <alignment horizontal="center" vertical="center"/>
    </xf>
    <xf numFmtId="0" fontId="4" fillId="6" borderId="56" xfId="0" applyFont="1" applyFill="1" applyBorder="1" applyAlignment="1">
      <alignment horizontal="center" vertical="top" wrapText="1"/>
    </xf>
    <xf numFmtId="0" fontId="9" fillId="6" borderId="118" xfId="0" applyFont="1" applyFill="1" applyBorder="1" applyAlignment="1">
      <alignment horizontal="center" vertical="top"/>
    </xf>
    <xf numFmtId="0" fontId="12" fillId="6" borderId="90" xfId="0" applyFont="1" applyFill="1" applyBorder="1" applyAlignment="1">
      <alignment horizontal="center" vertical="top"/>
    </xf>
    <xf numFmtId="0" fontId="12" fillId="6" borderId="104" xfId="0" applyFont="1" applyFill="1" applyBorder="1" applyAlignment="1">
      <alignment horizontal="center" vertical="top"/>
    </xf>
    <xf numFmtId="0" fontId="4" fillId="6" borderId="83" xfId="0" applyFont="1" applyFill="1" applyBorder="1" applyAlignment="1">
      <alignment vertical="top" wrapText="1"/>
    </xf>
    <xf numFmtId="0" fontId="16" fillId="6" borderId="27" xfId="0" applyFont="1" applyFill="1" applyBorder="1" applyAlignment="1">
      <alignment horizontal="left" vertical="top" wrapText="1"/>
    </xf>
    <xf numFmtId="3" fontId="5" fillId="6" borderId="3" xfId="0" applyNumberFormat="1" applyFont="1" applyFill="1" applyBorder="1" applyAlignment="1">
      <alignment horizontal="center" vertical="top" wrapText="1"/>
    </xf>
    <xf numFmtId="3" fontId="30" fillId="6" borderId="0" xfId="0" applyNumberFormat="1" applyFont="1" applyFill="1" applyBorder="1" applyAlignment="1">
      <alignment vertical="top" wrapText="1"/>
    </xf>
    <xf numFmtId="3" fontId="22" fillId="6" borderId="22" xfId="0" applyNumberFormat="1" applyFont="1" applyFill="1" applyBorder="1" applyAlignment="1">
      <alignment horizontal="left" vertical="top" wrapText="1"/>
    </xf>
    <xf numFmtId="3" fontId="30" fillId="6" borderId="58" xfId="0" applyNumberFormat="1" applyFont="1" applyFill="1" applyBorder="1" applyAlignment="1">
      <alignment horizontal="center" vertical="top"/>
    </xf>
    <xf numFmtId="3" fontId="5" fillId="6" borderId="58" xfId="0" applyNumberFormat="1" applyFont="1" applyFill="1" applyBorder="1" applyAlignment="1">
      <alignment vertical="top" wrapText="1"/>
    </xf>
    <xf numFmtId="3" fontId="6" fillId="7" borderId="22" xfId="0" applyNumberFormat="1" applyFont="1" applyFill="1" applyBorder="1" applyAlignment="1">
      <alignment horizontal="center" vertical="top"/>
    </xf>
    <xf numFmtId="166" fontId="6" fillId="7" borderId="21" xfId="0" applyNumberFormat="1" applyFont="1" applyFill="1" applyBorder="1" applyAlignment="1">
      <alignment horizontal="center" vertical="top"/>
    </xf>
    <xf numFmtId="3" fontId="6" fillId="7" borderId="71" xfId="0" applyNumberFormat="1" applyFont="1" applyFill="1" applyBorder="1" applyAlignment="1">
      <alignment horizontal="center" vertical="top"/>
    </xf>
    <xf numFmtId="166" fontId="4" fillId="0" borderId="0" xfId="0" applyNumberFormat="1" applyFont="1" applyBorder="1" applyAlignment="1">
      <alignment vertical="top"/>
    </xf>
    <xf numFmtId="3" fontId="6" fillId="9" borderId="24" xfId="0" applyNumberFormat="1" applyFont="1" applyFill="1" applyBorder="1" applyAlignment="1">
      <alignment horizontal="center" vertical="top"/>
    </xf>
    <xf numFmtId="0" fontId="6" fillId="6" borderId="99" xfId="0" applyFont="1" applyFill="1" applyBorder="1" applyAlignment="1">
      <alignment horizontal="center" vertical="top" wrapText="1"/>
    </xf>
    <xf numFmtId="49" fontId="6" fillId="6" borderId="40" xfId="0" applyNumberFormat="1" applyFont="1" applyFill="1" applyBorder="1" applyAlignment="1">
      <alignment horizontal="center" vertical="center" wrapText="1"/>
    </xf>
    <xf numFmtId="49" fontId="7" fillId="6" borderId="40"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0" fontId="4" fillId="6" borderId="52" xfId="0" applyFont="1" applyFill="1" applyBorder="1" applyAlignment="1">
      <alignment horizontal="left" vertical="top" wrapText="1"/>
    </xf>
    <xf numFmtId="49" fontId="7" fillId="6" borderId="52" xfId="0" applyNumberFormat="1" applyFont="1" applyFill="1" applyBorder="1" applyAlignment="1">
      <alignment horizontal="center" vertical="center" wrapText="1"/>
    </xf>
    <xf numFmtId="3" fontId="6" fillId="9" borderId="13" xfId="0" applyNumberFormat="1" applyFont="1" applyFill="1" applyBorder="1" applyAlignment="1">
      <alignment horizontal="center" vertical="top"/>
    </xf>
    <xf numFmtId="49" fontId="6" fillId="5" borderId="74" xfId="0" applyNumberFormat="1" applyFont="1" applyFill="1" applyBorder="1" applyAlignment="1">
      <alignment horizontal="center" vertical="top"/>
    </xf>
    <xf numFmtId="3" fontId="4" fillId="7" borderId="72" xfId="0" applyNumberFormat="1" applyFont="1" applyFill="1" applyBorder="1" applyAlignment="1">
      <alignment vertical="top"/>
    </xf>
    <xf numFmtId="3" fontId="7" fillId="6" borderId="57" xfId="0" applyNumberFormat="1" applyFont="1" applyFill="1" applyBorder="1" applyAlignment="1">
      <alignment horizontal="center" vertical="top" wrapText="1"/>
    </xf>
    <xf numFmtId="0" fontId="6" fillId="6" borderId="33" xfId="0" applyFont="1" applyFill="1" applyBorder="1" applyAlignment="1">
      <alignment horizontal="center" vertical="top" wrapText="1"/>
    </xf>
    <xf numFmtId="0" fontId="16" fillId="6" borderId="45" xfId="0" applyFont="1" applyFill="1" applyBorder="1" applyAlignment="1">
      <alignment horizontal="center" wrapText="1"/>
    </xf>
    <xf numFmtId="3" fontId="4" fillId="6" borderId="46" xfId="0" applyNumberFormat="1" applyFont="1" applyFill="1" applyBorder="1" applyAlignment="1">
      <alignment horizontal="center" vertical="top" wrapText="1"/>
    </xf>
    <xf numFmtId="0" fontId="4" fillId="0" borderId="11" xfId="0" applyNumberFormat="1" applyFont="1" applyBorder="1" applyAlignment="1">
      <alignment horizontal="center" vertical="top"/>
    </xf>
    <xf numFmtId="0" fontId="4" fillId="0" borderId="0" xfId="0" applyNumberFormat="1" applyFont="1" applyBorder="1" applyAlignment="1">
      <alignment horizontal="center" vertical="top"/>
    </xf>
    <xf numFmtId="0" fontId="4" fillId="0" borderId="33" xfId="0" applyNumberFormat="1" applyFont="1" applyBorder="1" applyAlignment="1">
      <alignment horizontal="center" vertical="top"/>
    </xf>
    <xf numFmtId="49" fontId="6" fillId="6" borderId="1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0" fontId="16" fillId="6" borderId="11" xfId="0" applyFont="1" applyFill="1" applyBorder="1" applyAlignment="1">
      <alignment vertical="top" wrapText="1"/>
    </xf>
    <xf numFmtId="3" fontId="5" fillId="6" borderId="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166" fontId="4" fillId="6" borderId="59" xfId="0" applyNumberFormat="1" applyFont="1" applyFill="1" applyBorder="1" applyAlignment="1">
      <alignment horizontal="center" vertical="top" wrapText="1"/>
    </xf>
    <xf numFmtId="0" fontId="45" fillId="0" borderId="0" xfId="0" applyFont="1" applyAlignment="1">
      <alignment vertical="center"/>
    </xf>
    <xf numFmtId="166" fontId="4" fillId="0" borderId="0" xfId="0" applyNumberFormat="1" applyFont="1" applyFill="1" applyBorder="1" applyAlignment="1">
      <alignment vertical="top"/>
    </xf>
    <xf numFmtId="3" fontId="4" fillId="6" borderId="7" xfId="0" applyNumberFormat="1" applyFont="1" applyFill="1" applyBorder="1" applyAlignment="1">
      <alignment horizontal="left" vertical="top" wrapText="1"/>
    </xf>
    <xf numFmtId="3" fontId="4" fillId="6" borderId="14" xfId="0" applyNumberFormat="1" applyFont="1" applyFill="1" applyBorder="1" applyAlignment="1">
      <alignment horizontal="left" vertical="top" wrapText="1"/>
    </xf>
    <xf numFmtId="0" fontId="19" fillId="6" borderId="7" xfId="0" applyFont="1" applyFill="1" applyBorder="1" applyAlignment="1">
      <alignment horizontal="center" vertical="top" wrapText="1"/>
    </xf>
    <xf numFmtId="0" fontId="19" fillId="6" borderId="14" xfId="0" applyFont="1" applyFill="1" applyBorder="1" applyAlignment="1">
      <alignment horizontal="center" vertical="top" wrapText="1"/>
    </xf>
    <xf numFmtId="0" fontId="6" fillId="0" borderId="8" xfId="0" applyFont="1" applyBorder="1" applyAlignment="1">
      <alignment horizontal="center" vertical="center"/>
    </xf>
    <xf numFmtId="0" fontId="6" fillId="0" borderId="84" xfId="0" applyFont="1" applyBorder="1" applyAlignment="1">
      <alignment horizontal="center" vertical="center"/>
    </xf>
    <xf numFmtId="0" fontId="6" fillId="0" borderId="9"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2" fillId="0" borderId="0" xfId="0" applyFont="1" applyAlignment="1">
      <alignment horizontal="center" vertical="top"/>
    </xf>
    <xf numFmtId="0" fontId="0" fillId="0" borderId="0" xfId="0" applyAlignment="1">
      <alignment horizontal="center" vertical="top"/>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5" fillId="0" borderId="0" xfId="0" applyNumberFormat="1" applyFont="1" applyAlignment="1">
      <alignment horizontal="center" vertical="top"/>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6" fillId="0" borderId="6" xfId="0" applyFont="1" applyBorder="1" applyAlignment="1">
      <alignment horizontal="center" vertical="center" textRotation="90" shrinkToFit="1"/>
    </xf>
    <xf numFmtId="0" fontId="6" fillId="0" borderId="85" xfId="0" applyFont="1" applyBorder="1" applyAlignment="1">
      <alignment horizontal="center" vertical="center" textRotation="90" shrinkToFit="1"/>
    </xf>
    <xf numFmtId="0" fontId="6" fillId="0" borderId="25" xfId="0" applyFont="1" applyBorder="1" applyAlignment="1">
      <alignment horizontal="center" vertical="center" textRotation="90"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3" fontId="4" fillId="9" borderId="35" xfId="0" applyNumberFormat="1" applyFont="1" applyFill="1" applyBorder="1" applyAlignment="1">
      <alignment horizontal="left" vertical="top" wrapText="1"/>
    </xf>
    <xf numFmtId="3" fontId="4" fillId="9" borderId="57" xfId="0" applyNumberFormat="1" applyFont="1" applyFill="1" applyBorder="1" applyAlignment="1">
      <alignment vertical="top" wrapText="1"/>
    </xf>
    <xf numFmtId="3" fontId="4" fillId="9" borderId="58"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0"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5" xfId="0" applyNumberFormat="1" applyFont="1" applyBorder="1" applyAlignment="1">
      <alignment horizontal="left" vertical="top" wrapText="1"/>
    </xf>
    <xf numFmtId="3" fontId="4" fillId="0" borderId="57" xfId="0" applyNumberFormat="1" applyFont="1" applyBorder="1" applyAlignment="1">
      <alignment vertical="top" wrapText="1"/>
    </xf>
    <xf numFmtId="3" fontId="4" fillId="0" borderId="58" xfId="0" applyNumberFormat="1" applyFont="1" applyBorder="1" applyAlignment="1">
      <alignmen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3" fontId="4" fillId="6" borderId="31" xfId="0" applyNumberFormat="1" applyFont="1" applyFill="1" applyBorder="1" applyAlignment="1">
      <alignment horizontal="left" vertical="top" wrapText="1"/>
    </xf>
    <xf numFmtId="0" fontId="0" fillId="6" borderId="19" xfId="0" applyFill="1" applyBorder="1" applyAlignment="1">
      <alignment horizontal="left" vertical="top" wrapText="1"/>
    </xf>
    <xf numFmtId="0" fontId="0" fillId="6" borderId="20" xfId="0" applyFill="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75" xfId="0" applyNumberFormat="1" applyFont="1" applyBorder="1" applyAlignment="1">
      <alignment horizontal="center" vertical="center" wrapText="1"/>
    </xf>
    <xf numFmtId="3" fontId="6" fillId="0" borderId="72" xfId="0" applyNumberFormat="1" applyFont="1" applyBorder="1" applyAlignment="1">
      <alignment horizontal="center" vertical="center" wrapText="1"/>
    </xf>
    <xf numFmtId="3" fontId="6" fillId="0" borderId="73"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6" fillId="5" borderId="71" xfId="0" applyNumberFormat="1" applyFont="1" applyFill="1" applyBorder="1" applyAlignment="1">
      <alignment horizontal="right" vertical="top"/>
    </xf>
    <xf numFmtId="3" fontId="6" fillId="5" borderId="72" xfId="0" applyNumberFormat="1" applyFont="1" applyFill="1" applyBorder="1" applyAlignment="1">
      <alignment horizontal="right" vertical="top"/>
    </xf>
    <xf numFmtId="3" fontId="6" fillId="5" borderId="73" xfId="0" applyNumberFormat="1" applyFont="1" applyFill="1" applyBorder="1" applyAlignment="1">
      <alignment horizontal="right" vertical="top"/>
    </xf>
    <xf numFmtId="3" fontId="6" fillId="5" borderId="7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6" fillId="4" borderId="71" xfId="0" applyNumberFormat="1" applyFont="1" applyFill="1" applyBorder="1" applyAlignment="1">
      <alignment horizontal="right" vertical="top"/>
    </xf>
    <xf numFmtId="3" fontId="6" fillId="4" borderId="72" xfId="0" applyNumberFormat="1" applyFont="1" applyFill="1" applyBorder="1" applyAlignment="1">
      <alignment horizontal="right" vertical="top"/>
    </xf>
    <xf numFmtId="3" fontId="6" fillId="4" borderId="73" xfId="0" applyNumberFormat="1" applyFont="1" applyFill="1" applyBorder="1" applyAlignment="1">
      <alignment horizontal="right" vertical="top"/>
    </xf>
    <xf numFmtId="3" fontId="6" fillId="4" borderId="7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4" borderId="73" xfId="0" applyNumberFormat="1" applyFont="1" applyFill="1" applyBorder="1" applyAlignment="1">
      <alignment horizontal="center" vertical="top"/>
    </xf>
    <xf numFmtId="3" fontId="6" fillId="3" borderId="71" xfId="0" applyNumberFormat="1" applyFont="1" applyFill="1" applyBorder="1" applyAlignment="1">
      <alignment horizontal="right" vertical="top"/>
    </xf>
    <xf numFmtId="3" fontId="6" fillId="3" borderId="72" xfId="0" applyNumberFormat="1" applyFont="1" applyFill="1" applyBorder="1" applyAlignment="1">
      <alignment horizontal="right" vertical="top"/>
    </xf>
    <xf numFmtId="3" fontId="6" fillId="3" borderId="73" xfId="0" applyNumberFormat="1" applyFont="1" applyFill="1" applyBorder="1" applyAlignment="1">
      <alignment horizontal="right" vertical="top"/>
    </xf>
    <xf numFmtId="3" fontId="6" fillId="3" borderId="75" xfId="0" applyNumberFormat="1" applyFont="1" applyFill="1" applyBorder="1" applyAlignment="1">
      <alignment horizontal="center" vertical="top"/>
    </xf>
    <xf numFmtId="3" fontId="6" fillId="3" borderId="72" xfId="0" applyNumberFormat="1" applyFont="1" applyFill="1" applyBorder="1" applyAlignment="1">
      <alignment horizontal="center" vertical="top"/>
    </xf>
    <xf numFmtId="3" fontId="6" fillId="3" borderId="73" xfId="0" applyNumberFormat="1" applyFont="1" applyFill="1" applyBorder="1" applyAlignment="1">
      <alignment horizontal="center" vertical="top"/>
    </xf>
    <xf numFmtId="0" fontId="4" fillId="6" borderId="40" xfId="0" applyFont="1" applyFill="1" applyBorder="1" applyAlignment="1">
      <alignment vertical="top" wrapText="1"/>
    </xf>
    <xf numFmtId="0" fontId="4" fillId="6" borderId="57" xfId="0" applyFont="1" applyFill="1" applyBorder="1" applyAlignment="1">
      <alignment vertical="top" wrapText="1"/>
    </xf>
    <xf numFmtId="0" fontId="0" fillId="0" borderId="11" xfId="0" applyBorder="1" applyAlignment="1">
      <alignment vertical="top" wrapText="1"/>
    </xf>
    <xf numFmtId="0" fontId="4" fillId="6" borderId="15" xfId="0" applyFont="1" applyFill="1" applyBorder="1" applyAlignment="1">
      <alignment vertical="top" wrapText="1"/>
    </xf>
    <xf numFmtId="0" fontId="0" fillId="6" borderId="10" xfId="0" applyFill="1" applyBorder="1" applyAlignment="1">
      <alignment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4" xfId="0" applyFont="1" applyFill="1" applyBorder="1" applyAlignment="1">
      <alignment horizontal="left" vertical="top" wrapText="1"/>
    </xf>
    <xf numFmtId="0" fontId="4" fillId="6" borderId="57"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0" xfId="0" applyNumberFormat="1" applyFont="1" applyBorder="1" applyAlignment="1">
      <alignment horizontal="center" vertical="top"/>
    </xf>
    <xf numFmtId="49" fontId="6" fillId="0" borderId="58" xfId="0" applyNumberFormat="1" applyFont="1" applyBorder="1" applyAlignment="1">
      <alignment horizontal="center" vertical="top"/>
    </xf>
    <xf numFmtId="49" fontId="6" fillId="0" borderId="81" xfId="0" applyNumberFormat="1" applyFont="1" applyBorder="1" applyAlignment="1">
      <alignment horizontal="center" vertical="top"/>
    </xf>
    <xf numFmtId="0" fontId="4" fillId="6" borderId="10" xfId="0" applyFont="1" applyFill="1" applyBorder="1" applyAlignment="1">
      <alignment horizontal="left" vertical="top" wrapText="1"/>
    </xf>
    <xf numFmtId="0" fontId="4" fillId="6" borderId="21" xfId="0" applyFont="1" applyFill="1"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71" xfId="0" applyNumberFormat="1" applyFont="1" applyFill="1" applyBorder="1" applyAlignment="1">
      <alignment horizontal="left" vertical="top"/>
    </xf>
    <xf numFmtId="3" fontId="6" fillId="5" borderId="72" xfId="0" applyNumberFormat="1" applyFont="1" applyFill="1" applyBorder="1" applyAlignment="1">
      <alignment horizontal="left" vertical="top"/>
    </xf>
    <xf numFmtId="3" fontId="6" fillId="5" borderId="0" xfId="0" applyNumberFormat="1" applyFont="1" applyFill="1" applyBorder="1" applyAlignment="1">
      <alignment horizontal="left" vertical="top"/>
    </xf>
    <xf numFmtId="3" fontId="6" fillId="5" borderId="73" xfId="0" applyNumberFormat="1" applyFont="1" applyFill="1" applyBorder="1" applyAlignment="1">
      <alignment horizontal="left" vertical="top"/>
    </xf>
    <xf numFmtId="3" fontId="6" fillId="6" borderId="3" xfId="0" applyNumberFormat="1" applyFont="1" applyFill="1" applyBorder="1" applyAlignment="1">
      <alignment vertical="top" wrapText="1"/>
    </xf>
    <xf numFmtId="0" fontId="0" fillId="0" borderId="57" xfId="0"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0" borderId="40" xfId="0" applyFont="1" applyFill="1" applyBorder="1" applyAlignment="1">
      <alignment vertical="top" wrapText="1"/>
    </xf>
    <xf numFmtId="0" fontId="4" fillId="0" borderId="57" xfId="0" applyFont="1" applyFill="1" applyBorder="1" applyAlignment="1">
      <alignment vertical="top" wrapText="1"/>
    </xf>
    <xf numFmtId="0" fontId="4" fillId="6" borderId="13" xfId="0" applyFont="1" applyFill="1" applyBorder="1" applyAlignment="1">
      <alignment vertical="top" wrapText="1"/>
    </xf>
    <xf numFmtId="0" fontId="0" fillId="6" borderId="13" xfId="0" applyFont="1" applyFill="1" applyBorder="1" applyAlignment="1">
      <alignment vertical="top" wrapText="1"/>
    </xf>
    <xf numFmtId="3" fontId="4" fillId="6" borderId="13" xfId="0" applyNumberFormat="1" applyFont="1" applyFill="1" applyBorder="1" applyAlignment="1">
      <alignment vertical="top" wrapText="1"/>
    </xf>
    <xf numFmtId="0" fontId="0" fillId="6" borderId="34" xfId="0" applyFill="1" applyBorder="1" applyAlignment="1">
      <alignment vertical="top" wrapText="1"/>
    </xf>
    <xf numFmtId="0" fontId="4" fillId="6" borderId="40" xfId="0" applyFont="1" applyFill="1" applyBorder="1" applyAlignment="1">
      <alignment horizontal="left" vertical="top" wrapText="1"/>
    </xf>
    <xf numFmtId="0" fontId="0" fillId="0" borderId="11" xfId="0" applyBorder="1" applyAlignment="1">
      <alignment wrapText="1"/>
    </xf>
    <xf numFmtId="49" fontId="5" fillId="6" borderId="40" xfId="0" applyNumberFormat="1" applyFont="1" applyFill="1" applyBorder="1" applyAlignment="1">
      <alignment horizontal="center" vertical="top" textRotation="90" wrapText="1"/>
    </xf>
    <xf numFmtId="0" fontId="0" fillId="6" borderId="11" xfId="0"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0" borderId="57" xfId="0" applyNumberFormat="1" applyFont="1" applyFill="1" applyBorder="1" applyAlignment="1">
      <alignment horizontal="left" vertical="top" wrapText="1"/>
    </xf>
    <xf numFmtId="49" fontId="5" fillId="0" borderId="57" xfId="0" applyNumberFormat="1" applyFont="1" applyFill="1" applyBorder="1" applyAlignment="1">
      <alignment horizontal="center" vertical="center" wrapText="1"/>
    </xf>
    <xf numFmtId="49" fontId="6" fillId="6" borderId="99"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3"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12"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0" fontId="0" fillId="0" borderId="10" xfId="0" applyBorder="1" applyAlignment="1">
      <alignment horizontal="left" vertical="top" wrapText="1"/>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5" fillId="0" borderId="3" xfId="0" applyNumberFormat="1" applyFont="1" applyFill="1" applyBorder="1" applyAlignment="1">
      <alignment horizontal="center"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5" borderId="25" xfId="0" applyNumberFormat="1" applyFont="1" applyFill="1" applyBorder="1" applyAlignment="1">
      <alignment horizontal="right" vertical="top"/>
    </xf>
    <xf numFmtId="0" fontId="16" fillId="6" borderId="47" xfId="0"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0" fillId="0" borderId="57" xfId="0"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35" xfId="0" applyBorder="1" applyAlignment="1">
      <alignment horizontal="left" vertical="top" wrapText="1"/>
    </xf>
    <xf numFmtId="3" fontId="4" fillId="6" borderId="57"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16" fillId="6" borderId="57" xfId="0" applyFont="1" applyFill="1" applyBorder="1" applyAlignment="1">
      <alignment vertical="top" wrapText="1"/>
    </xf>
    <xf numFmtId="3" fontId="4" fillId="6" borderId="52"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0" fontId="0" fillId="0" borderId="10" xfId="0" applyBorder="1" applyAlignment="1">
      <alignment vertical="top" wrapText="1"/>
    </xf>
    <xf numFmtId="3" fontId="6" fillId="6" borderId="3" xfId="0" applyNumberFormat="1" applyFont="1" applyFill="1" applyBorder="1" applyAlignment="1">
      <alignment horizontal="left" vertical="top" wrapText="1"/>
    </xf>
    <xf numFmtId="3" fontId="6" fillId="6" borderId="11" xfId="0" applyNumberFormat="1" applyFont="1" applyFill="1" applyBorder="1" applyAlignment="1">
      <alignment horizontal="left" vertical="top" wrapText="1"/>
    </xf>
    <xf numFmtId="3" fontId="6" fillId="6" borderId="57" xfId="0" applyNumberFormat="1" applyFont="1" applyFill="1" applyBorder="1" applyAlignment="1">
      <alignment horizontal="left" vertical="top" wrapText="1"/>
    </xf>
    <xf numFmtId="0" fontId="16" fillId="0" borderId="11" xfId="0" applyFont="1" applyBorder="1" applyAlignment="1">
      <alignment horizontal="left" vertical="top" wrapText="1"/>
    </xf>
    <xf numFmtId="0" fontId="0" fillId="6" borderId="35" xfId="0" applyFill="1" applyBorder="1" applyAlignment="1">
      <alignment vertical="top" wrapText="1"/>
    </xf>
    <xf numFmtId="0" fontId="16" fillId="6" borderId="11" xfId="0" applyFont="1" applyFill="1" applyBorder="1" applyAlignment="1">
      <alignment horizontal="left" vertical="top" wrapText="1"/>
    </xf>
    <xf numFmtId="3" fontId="10" fillId="6" borderId="11" xfId="0" applyNumberFormat="1" applyFont="1" applyFill="1" applyBorder="1" applyAlignment="1">
      <alignment horizontal="left" vertical="top" wrapText="1"/>
    </xf>
    <xf numFmtId="0" fontId="0" fillId="0" borderId="11" xfId="0" applyBorder="1" applyAlignment="1">
      <alignment horizontal="left" vertical="top" wrapText="1"/>
    </xf>
    <xf numFmtId="3" fontId="10" fillId="6" borderId="14" xfId="0" applyNumberFormat="1" applyFont="1" applyFill="1" applyBorder="1" applyAlignment="1">
      <alignment horizontal="left" vertical="top" wrapText="1"/>
    </xf>
    <xf numFmtId="0" fontId="16" fillId="6" borderId="14" xfId="0" applyFont="1" applyFill="1" applyBorder="1" applyAlignment="1">
      <alignment horizontal="left" vertical="top" wrapText="1"/>
    </xf>
    <xf numFmtId="3" fontId="4" fillId="6" borderId="50" xfId="0" applyNumberFormat="1" applyFont="1" applyFill="1" applyBorder="1" applyAlignment="1">
      <alignment horizontal="left" vertical="top" wrapText="1"/>
    </xf>
    <xf numFmtId="0" fontId="0" fillId="0" borderId="14" xfId="0" applyBorder="1" applyAlignment="1">
      <alignment horizontal="left" vertical="top" wrapText="1"/>
    </xf>
    <xf numFmtId="0" fontId="0" fillId="0" borderId="38" xfId="0" applyBorder="1" applyAlignment="1">
      <alignment horizontal="left" vertical="top" wrapText="1"/>
    </xf>
    <xf numFmtId="0" fontId="4" fillId="6" borderId="83" xfId="0" applyFont="1" applyFill="1" applyBorder="1" applyAlignment="1">
      <alignment horizontal="left" vertical="top" wrapText="1"/>
    </xf>
    <xf numFmtId="0" fontId="0" fillId="6" borderId="47" xfId="0" applyFill="1" applyBorder="1" applyAlignment="1">
      <alignment horizontal="left" vertical="top" wrapText="1"/>
    </xf>
    <xf numFmtId="3" fontId="6" fillId="0" borderId="12"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0" fontId="20" fillId="6" borderId="50" xfId="0" applyFont="1" applyFill="1" applyBorder="1" applyAlignment="1">
      <alignment horizontal="left" vertical="top" wrapText="1"/>
    </xf>
    <xf numFmtId="0" fontId="16" fillId="6" borderId="57" xfId="0" applyFont="1" applyFill="1" applyBorder="1" applyAlignment="1">
      <alignment horizontal="left" vertical="top" wrapText="1"/>
    </xf>
    <xf numFmtId="3" fontId="4" fillId="6" borderId="58"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7" xfId="0" applyFont="1" applyFill="1" applyBorder="1" applyAlignment="1">
      <alignment horizontal="left" vertical="top" wrapText="1"/>
    </xf>
    <xf numFmtId="49" fontId="6" fillId="6" borderId="22" xfId="0" applyNumberFormat="1" applyFont="1" applyFill="1" applyBorder="1" applyAlignment="1">
      <alignment horizontal="center" vertical="top"/>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16" fillId="0" borderId="57" xfId="0" applyFont="1"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6" fillId="0" borderId="4" xfId="0" applyNumberFormat="1" applyFont="1" applyBorder="1" applyAlignment="1">
      <alignment horizontal="center" vertical="top"/>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5" borderId="23" xfId="0" applyNumberFormat="1" applyFont="1" applyFill="1" applyBorder="1" applyAlignment="1">
      <alignment horizontal="center" vertical="top"/>
    </xf>
    <xf numFmtId="49" fontId="4" fillId="0" borderId="96" xfId="0" applyNumberFormat="1" applyFont="1" applyBorder="1" applyAlignment="1">
      <alignment horizontal="left" vertical="top" wrapText="1"/>
    </xf>
    <xf numFmtId="0" fontId="16" fillId="0" borderId="96" xfId="0" applyFont="1" applyBorder="1" applyAlignment="1">
      <alignment horizontal="left" vertical="top" wrapText="1"/>
    </xf>
    <xf numFmtId="49" fontId="4" fillId="0" borderId="85" xfId="0" applyNumberFormat="1" applyFont="1" applyBorder="1" applyAlignment="1">
      <alignment horizontal="center" vertical="top" wrapText="1"/>
    </xf>
    <xf numFmtId="0" fontId="0" fillId="0" borderId="85" xfId="0" applyBorder="1" applyAlignment="1">
      <alignment vertical="top" wrapText="1"/>
    </xf>
    <xf numFmtId="3" fontId="4" fillId="6" borderId="21" xfId="0" applyNumberFormat="1" applyFont="1" applyFill="1" applyBorder="1" applyAlignment="1">
      <alignment horizontal="left" vertical="top" wrapText="1"/>
    </xf>
    <xf numFmtId="49" fontId="4" fillId="0" borderId="98" xfId="0" applyNumberFormat="1" applyFont="1" applyBorder="1" applyAlignment="1">
      <alignment horizontal="center" vertical="top" wrapText="1"/>
    </xf>
    <xf numFmtId="0" fontId="0" fillId="0" borderId="98" xfId="0" applyBorder="1" applyAlignment="1">
      <alignment vertical="top" wrapText="1"/>
    </xf>
    <xf numFmtId="3" fontId="4" fillId="0" borderId="62"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0" fontId="6" fillId="6" borderId="11" xfId="0"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6" borderId="82" xfId="0" applyNumberFormat="1" applyFont="1" applyFill="1" applyBorder="1" applyAlignment="1">
      <alignment horizontal="left" vertical="top" wrapText="1"/>
    </xf>
    <xf numFmtId="0" fontId="16" fillId="6" borderId="83" xfId="0" applyFont="1" applyFill="1" applyBorder="1" applyAlignment="1">
      <alignment horizontal="left" vertical="top" wrapText="1"/>
    </xf>
    <xf numFmtId="49" fontId="4" fillId="0" borderId="96" xfId="0" applyNumberFormat="1" applyFont="1" applyBorder="1" applyAlignment="1">
      <alignment horizontal="center" vertical="top" wrapText="1"/>
    </xf>
    <xf numFmtId="0" fontId="16" fillId="0" borderId="96" xfId="0" applyFont="1" applyBorder="1" applyAlignment="1">
      <alignment horizontal="center"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85" xfId="0" applyNumberFormat="1" applyFont="1" applyBorder="1" applyAlignment="1">
      <alignment horizontal="center" vertical="top"/>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4" fillId="0" borderId="1" xfId="0" applyFont="1" applyBorder="1" applyAlignment="1">
      <alignment horizontal="right" vertical="top"/>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20" xfId="0" applyFont="1" applyFill="1" applyBorder="1" applyAlignment="1">
      <alignment horizontal="left" vertical="top" wrapText="1"/>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9" fillId="0" borderId="0" xfId="0" applyNumberFormat="1" applyFont="1" applyAlignment="1">
      <alignment horizontal="center" vertical="top"/>
    </xf>
    <xf numFmtId="3" fontId="27" fillId="6" borderId="0" xfId="0" applyNumberFormat="1" applyFont="1" applyFill="1" applyAlignment="1">
      <alignment horizontal="left" vertical="top" wrapText="1"/>
    </xf>
    <xf numFmtId="0" fontId="6" fillId="6" borderId="40" xfId="0" applyFont="1" applyFill="1" applyBorder="1" applyAlignment="1">
      <alignment horizontal="lef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3" fontId="4" fillId="9" borderId="31" xfId="0" applyNumberFormat="1" applyFont="1" applyFill="1" applyBorder="1" applyAlignment="1">
      <alignment horizontal="left" vertical="top" wrapText="1"/>
    </xf>
    <xf numFmtId="0" fontId="16" fillId="9" borderId="19" xfId="0" applyFont="1" applyFill="1" applyBorder="1" applyAlignment="1">
      <alignment horizontal="left" vertical="top" wrapText="1"/>
    </xf>
    <xf numFmtId="0" fontId="16" fillId="9" borderId="20" xfId="0" applyFont="1" applyFill="1" applyBorder="1" applyAlignment="1">
      <alignment horizontal="left" vertical="top" wrapText="1"/>
    </xf>
    <xf numFmtId="3" fontId="4" fillId="0" borderId="30" xfId="0" applyNumberFormat="1" applyFont="1" applyFill="1" applyBorder="1" applyAlignment="1">
      <alignment horizontal="left" vertical="top" wrapText="1"/>
    </xf>
    <xf numFmtId="0" fontId="4" fillId="6" borderId="11" xfId="0" applyFont="1" applyFill="1" applyBorder="1" applyAlignment="1">
      <alignment vertical="top" wrapText="1"/>
    </xf>
    <xf numFmtId="0" fontId="4" fillId="6" borderId="15" xfId="0" applyFont="1" applyFill="1" applyBorder="1" applyAlignment="1">
      <alignment horizontal="left" vertical="top" wrapText="1"/>
    </xf>
    <xf numFmtId="0" fontId="4" fillId="6" borderId="35" xfId="0" applyFont="1" applyFill="1" applyBorder="1" applyAlignment="1">
      <alignment horizontal="left" vertical="top" wrapText="1"/>
    </xf>
    <xf numFmtId="0" fontId="4" fillId="6" borderId="27" xfId="0" applyFont="1" applyFill="1" applyBorder="1" applyAlignment="1">
      <alignment vertical="top" wrapText="1"/>
    </xf>
    <xf numFmtId="3" fontId="6" fillId="5" borderId="1" xfId="0" applyNumberFormat="1" applyFont="1" applyFill="1" applyBorder="1" applyAlignment="1">
      <alignment horizontal="left" vertical="top"/>
    </xf>
    <xf numFmtId="3" fontId="4" fillId="6" borderId="57" xfId="0" applyNumberFormat="1" applyFont="1" applyFill="1" applyBorder="1" applyAlignment="1">
      <alignment horizontal="left" vertical="top" wrapText="1"/>
    </xf>
    <xf numFmtId="0" fontId="4" fillId="0" borderId="0" xfId="0" applyFont="1" applyBorder="1" applyAlignment="1">
      <alignment vertical="top" wrapText="1"/>
    </xf>
    <xf numFmtId="0" fontId="0" fillId="0" borderId="0" xfId="0" applyBorder="1" applyAlignment="1">
      <alignment vertical="top" wrapText="1"/>
    </xf>
    <xf numFmtId="0" fontId="4" fillId="6" borderId="52" xfId="0" applyFont="1" applyFill="1" applyBorder="1" applyAlignment="1">
      <alignment horizontal="left" vertical="top" wrapText="1"/>
    </xf>
    <xf numFmtId="49" fontId="7" fillId="6" borderId="52" xfId="0" applyNumberFormat="1" applyFont="1" applyFill="1" applyBorder="1" applyAlignment="1">
      <alignment horizontal="center" vertical="center" wrapText="1"/>
    </xf>
    <xf numFmtId="0" fontId="4" fillId="6" borderId="53" xfId="0" applyFont="1" applyFill="1" applyBorder="1" applyAlignment="1">
      <alignment horizontal="center" vertical="top"/>
    </xf>
    <xf numFmtId="166" fontId="4" fillId="6" borderId="53" xfId="0" applyNumberFormat="1" applyFont="1" applyFill="1" applyBorder="1" applyAlignment="1">
      <alignment horizontal="center" vertical="top"/>
    </xf>
    <xf numFmtId="0" fontId="4" fillId="6" borderId="11" xfId="0" applyFont="1" applyFill="1" applyBorder="1" applyAlignment="1">
      <alignment horizontal="left" vertical="top" wrapText="1"/>
    </xf>
    <xf numFmtId="0" fontId="16" fillId="6" borderId="11" xfId="0" applyFont="1" applyFill="1" applyBorder="1" applyAlignment="1">
      <alignment wrapText="1"/>
    </xf>
    <xf numFmtId="0" fontId="16" fillId="6" borderId="10" xfId="0" applyFont="1" applyFill="1" applyBorder="1" applyAlignment="1">
      <alignment horizontal="left" vertical="top" wrapText="1"/>
    </xf>
    <xf numFmtId="3" fontId="6" fillId="7" borderId="23" xfId="0" applyNumberFormat="1" applyFont="1" applyFill="1" applyBorder="1" applyAlignment="1">
      <alignment horizontal="right" vertical="top"/>
    </xf>
    <xf numFmtId="3" fontId="6" fillId="7" borderId="1" xfId="0" applyNumberFormat="1" applyFont="1" applyFill="1" applyBorder="1" applyAlignment="1">
      <alignment horizontal="right" vertical="top"/>
    </xf>
    <xf numFmtId="3" fontId="6" fillId="7" borderId="25" xfId="0" applyNumberFormat="1" applyFont="1" applyFill="1" applyBorder="1" applyAlignment="1">
      <alignment horizontal="right" vertical="top"/>
    </xf>
    <xf numFmtId="3" fontId="6" fillId="7" borderId="71" xfId="0" applyNumberFormat="1" applyFont="1" applyFill="1" applyBorder="1" applyAlignment="1">
      <alignment horizontal="left" vertical="top"/>
    </xf>
    <xf numFmtId="3" fontId="6" fillId="7" borderId="72" xfId="0" applyNumberFormat="1" applyFont="1" applyFill="1" applyBorder="1" applyAlignment="1">
      <alignment horizontal="left" vertical="top"/>
    </xf>
    <xf numFmtId="3" fontId="6" fillId="7" borderId="73" xfId="0" applyNumberFormat="1" applyFont="1" applyFill="1" applyBorder="1" applyAlignment="1">
      <alignment horizontal="left" vertical="top"/>
    </xf>
    <xf numFmtId="3" fontId="7" fillId="6" borderId="3" xfId="0" applyNumberFormat="1" applyFont="1" applyFill="1" applyBorder="1" applyAlignment="1">
      <alignment horizontal="center" vertical="top" wrapText="1"/>
    </xf>
    <xf numFmtId="0" fontId="21" fillId="6" borderId="11" xfId="0" applyFont="1" applyFill="1" applyBorder="1" applyAlignment="1">
      <alignment horizontal="center" vertical="top" wrapText="1"/>
    </xf>
    <xf numFmtId="0" fontId="16" fillId="6" borderId="11" xfId="0" applyFont="1" applyFill="1" applyBorder="1" applyAlignment="1">
      <alignment vertical="top" wrapText="1"/>
    </xf>
    <xf numFmtId="3" fontId="5" fillId="6" borderId="3"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wrapText="1"/>
    </xf>
    <xf numFmtId="3" fontId="5" fillId="6" borderId="22" xfId="0" applyNumberFormat="1" applyFont="1" applyFill="1" applyBorder="1" applyAlignment="1">
      <alignment horizontal="center" vertical="top" wrapText="1"/>
    </xf>
    <xf numFmtId="0" fontId="4" fillId="0" borderId="13" xfId="0" applyFont="1" applyBorder="1" applyAlignment="1">
      <alignment horizontal="left" vertical="top" wrapText="1"/>
    </xf>
    <xf numFmtId="0" fontId="19" fillId="0" borderId="13" xfId="0" applyFont="1" applyBorder="1" applyAlignment="1">
      <alignment horizontal="left" vertical="top"/>
    </xf>
    <xf numFmtId="0" fontId="16" fillId="6" borderId="35" xfId="0" applyFont="1" applyFill="1" applyBorder="1" applyAlignment="1">
      <alignment horizontal="left" vertical="top" wrapText="1"/>
    </xf>
    <xf numFmtId="3" fontId="5" fillId="0" borderId="12" xfId="0" applyNumberFormat="1" applyFont="1" applyFill="1" applyBorder="1" applyAlignment="1">
      <alignment horizontal="right" vertical="top"/>
    </xf>
    <xf numFmtId="3" fontId="5" fillId="0" borderId="23" xfId="0" applyNumberFormat="1" applyFont="1" applyFill="1" applyBorder="1" applyAlignment="1">
      <alignment horizontal="right" vertical="top"/>
    </xf>
    <xf numFmtId="0" fontId="16" fillId="0" borderId="10" xfId="0" applyFont="1" applyBorder="1" applyAlignment="1">
      <alignment vertical="top" wrapText="1"/>
    </xf>
    <xf numFmtId="0" fontId="0" fillId="6" borderId="11" xfId="0" applyFill="1" applyBorder="1" applyAlignment="1">
      <alignment horizontal="left" vertical="top" wrapText="1"/>
    </xf>
    <xf numFmtId="0" fontId="16" fillId="0" borderId="10" xfId="0" applyFont="1" applyBorder="1" applyAlignment="1">
      <alignment horizontal="lef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4" fillId="0" borderId="4" xfId="0" applyNumberFormat="1" applyFont="1" applyBorder="1" applyAlignment="1">
      <alignment horizontal="center" vertical="top"/>
    </xf>
    <xf numFmtId="3" fontId="4" fillId="0" borderId="12" xfId="0" applyNumberFormat="1" applyFont="1" applyBorder="1" applyAlignment="1">
      <alignment horizontal="center" vertical="top"/>
    </xf>
    <xf numFmtId="3" fontId="4" fillId="0" borderId="23" xfId="0" applyNumberFormat="1" applyFont="1" applyBorder="1" applyAlignment="1">
      <alignment horizontal="center" vertical="top"/>
    </xf>
    <xf numFmtId="3" fontId="6" fillId="5" borderId="30" xfId="0" applyNumberFormat="1" applyFont="1" applyFill="1" applyBorder="1" applyAlignment="1">
      <alignment horizontal="center" vertical="top"/>
    </xf>
    <xf numFmtId="3" fontId="6" fillId="5" borderId="0" xfId="0" applyNumberFormat="1" applyFont="1" applyFill="1" applyBorder="1" applyAlignment="1">
      <alignment horizontal="center" vertical="top"/>
    </xf>
    <xf numFmtId="3" fontId="6" fillId="5" borderId="1" xfId="0" applyNumberFormat="1" applyFont="1" applyFill="1" applyBorder="1" applyAlignment="1">
      <alignment horizontal="center" vertical="top"/>
    </xf>
    <xf numFmtId="49" fontId="4" fillId="6" borderId="39" xfId="0" applyNumberFormat="1" applyFont="1" applyFill="1" applyBorder="1" applyAlignment="1">
      <alignment horizontal="center" vertical="top" wrapText="1"/>
    </xf>
    <xf numFmtId="0" fontId="16" fillId="6" borderId="91" xfId="0" applyFont="1" applyFill="1" applyBorder="1" applyAlignment="1">
      <alignment vertical="top" wrapText="1"/>
    </xf>
    <xf numFmtId="49" fontId="4" fillId="6" borderId="18" xfId="0" applyNumberFormat="1" applyFont="1" applyFill="1" applyBorder="1" applyAlignment="1">
      <alignment horizontal="center" vertical="top" wrapText="1"/>
    </xf>
    <xf numFmtId="0" fontId="16" fillId="6" borderId="105" xfId="0" applyFont="1" applyFill="1" applyBorder="1" applyAlignment="1">
      <alignment vertical="top" wrapText="1"/>
    </xf>
    <xf numFmtId="0" fontId="0" fillId="6" borderId="57" xfId="0" applyFill="1" applyBorder="1" applyAlignment="1">
      <alignment horizontal="left" vertical="top" wrapText="1"/>
    </xf>
    <xf numFmtId="3" fontId="5" fillId="6" borderId="41"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83" xfId="0" applyNumberFormat="1" applyFont="1" applyFill="1" applyBorder="1" applyAlignment="1">
      <alignment horizontal="left" vertical="top" wrapText="1"/>
    </xf>
    <xf numFmtId="0" fontId="0" fillId="6" borderId="35" xfId="0" applyFill="1" applyBorder="1" applyAlignment="1">
      <alignment horizontal="left" vertical="top" wrapText="1"/>
    </xf>
    <xf numFmtId="0" fontId="16" fillId="6" borderId="47" xfId="0" applyFont="1" applyFill="1" applyBorder="1" applyAlignment="1">
      <alignment vertical="top" wrapText="1"/>
    </xf>
    <xf numFmtId="49" fontId="4" fillId="6" borderId="40" xfId="0" applyNumberFormat="1" applyFont="1" applyFill="1" applyBorder="1" applyAlignment="1">
      <alignment horizontal="center" vertical="top" wrapText="1"/>
    </xf>
    <xf numFmtId="0" fontId="16" fillId="6" borderId="45" xfId="0" applyFont="1" applyFill="1" applyBorder="1" applyAlignment="1">
      <alignmen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22" fillId="0" borderId="40" xfId="0" applyFont="1" applyFill="1" applyBorder="1" applyAlignment="1">
      <alignment vertical="top" wrapText="1"/>
    </xf>
    <xf numFmtId="0" fontId="22" fillId="0" borderId="57" xfId="0" applyFont="1" applyFill="1" applyBorder="1" applyAlignment="1">
      <alignment vertical="top" wrapText="1"/>
    </xf>
    <xf numFmtId="0" fontId="22" fillId="6" borderId="13" xfId="0" applyFont="1" applyFill="1" applyBorder="1" applyAlignment="1">
      <alignment vertical="top" wrapText="1"/>
    </xf>
    <xf numFmtId="0" fontId="36" fillId="6" borderId="34" xfId="0" applyFont="1" applyFill="1" applyBorder="1" applyAlignment="1">
      <alignment vertical="top" wrapText="1"/>
    </xf>
    <xf numFmtId="0" fontId="4" fillId="6" borderId="14" xfId="1" applyNumberFormat="1" applyFont="1" applyFill="1" applyBorder="1" applyAlignment="1">
      <alignment horizontal="center" vertical="top" wrapText="1"/>
    </xf>
    <xf numFmtId="0" fontId="16" fillId="0" borderId="38" xfId="0" applyFont="1" applyBorder="1" applyAlignment="1">
      <alignment horizontal="center" vertical="top" wrapText="1"/>
    </xf>
    <xf numFmtId="3" fontId="4" fillId="6" borderId="53"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5" fillId="6" borderId="3" xfId="0" applyNumberFormat="1" applyFont="1" applyFill="1" applyBorder="1" applyAlignment="1">
      <alignment horizontal="center" vertical="center" textRotation="90" wrapText="1"/>
    </xf>
    <xf numFmtId="3" fontId="4" fillId="6" borderId="7" xfId="0" applyNumberFormat="1" applyFont="1" applyFill="1" applyBorder="1" applyAlignment="1">
      <alignment horizontal="center" vertical="top" wrapText="1"/>
    </xf>
    <xf numFmtId="0" fontId="16" fillId="0" borderId="14" xfId="0" applyFont="1" applyBorder="1" applyAlignment="1">
      <alignment horizontal="center" vertical="top" wrapText="1"/>
    </xf>
    <xf numFmtId="49" fontId="6" fillId="6" borderId="40" xfId="0" applyNumberFormat="1" applyFont="1" applyFill="1" applyBorder="1" applyAlignment="1">
      <alignment horizontal="center" vertical="top"/>
    </xf>
    <xf numFmtId="0" fontId="16" fillId="0" borderId="14" xfId="0" applyFont="1" applyBorder="1" applyAlignment="1">
      <alignment horizontal="center" vertical="top"/>
    </xf>
    <xf numFmtId="3" fontId="22" fillId="6" borderId="50" xfId="1" applyNumberFormat="1" applyFont="1" applyFill="1" applyBorder="1" applyAlignment="1">
      <alignment horizontal="center" vertical="top" wrapText="1"/>
    </xf>
    <xf numFmtId="0" fontId="36" fillId="6" borderId="14" xfId="0" applyFont="1" applyFill="1" applyBorder="1" applyAlignment="1">
      <alignment horizontal="center" vertical="top" wrapText="1"/>
    </xf>
    <xf numFmtId="3" fontId="6" fillId="5" borderId="30" xfId="0" applyNumberFormat="1" applyFont="1" applyFill="1" applyBorder="1" applyAlignment="1">
      <alignment horizontal="left" vertical="top"/>
    </xf>
    <xf numFmtId="0" fontId="0" fillId="6" borderId="57" xfId="0" applyFill="1" applyBorder="1" applyAlignment="1">
      <alignment horizontal="center" vertical="center" textRotation="90" wrapText="1"/>
    </xf>
    <xf numFmtId="0" fontId="4" fillId="0" borderId="0" xfId="0" applyFont="1" applyAlignment="1">
      <alignment horizontal="right" wrapText="1"/>
    </xf>
    <xf numFmtId="0" fontId="17" fillId="0" borderId="0" xfId="0" applyFont="1" applyAlignment="1">
      <alignment horizontal="right"/>
    </xf>
    <xf numFmtId="3" fontId="4" fillId="0" borderId="62"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0" fontId="16" fillId="6" borderId="14" xfId="0" applyFont="1" applyFill="1" applyBorder="1" applyAlignment="1">
      <alignment horizontal="center"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6" fillId="9" borderId="12"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0" fontId="16" fillId="6" borderId="38" xfId="0" applyFont="1" applyFill="1" applyBorder="1" applyAlignment="1">
      <alignment horizontal="center" wrapText="1"/>
    </xf>
    <xf numFmtId="3" fontId="6" fillId="9" borderId="11" xfId="0" applyNumberFormat="1" applyFont="1" applyFill="1" applyBorder="1" applyAlignment="1">
      <alignment horizontal="center" vertical="top"/>
    </xf>
    <xf numFmtId="0" fontId="16" fillId="6" borderId="38" xfId="0"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16" fillId="0" borderId="35" xfId="0" applyFont="1" applyBorder="1" applyAlignment="1">
      <alignment vertical="top" wrapText="1"/>
    </xf>
    <xf numFmtId="0" fontId="16" fillId="6" borderId="14" xfId="0" applyFont="1" applyFill="1" applyBorder="1" applyAlignment="1">
      <alignment vertical="top" wrapText="1"/>
    </xf>
    <xf numFmtId="0" fontId="16" fillId="6" borderId="35" xfId="0" applyFont="1" applyFill="1" applyBorder="1" applyAlignment="1">
      <alignment vertical="top" wrapText="1"/>
    </xf>
    <xf numFmtId="0" fontId="0" fillId="0" borderId="38" xfId="0" applyBorder="1" applyAlignment="1">
      <alignment horizontal="center" vertical="top" wrapText="1"/>
    </xf>
    <xf numFmtId="3" fontId="39" fillId="6" borderId="40" xfId="0" applyNumberFormat="1" applyFont="1" applyFill="1" applyBorder="1" applyAlignment="1">
      <alignment horizontal="left" vertical="top" wrapText="1"/>
    </xf>
    <xf numFmtId="0" fontId="36" fillId="0" borderId="57" xfId="0" applyFont="1" applyBorder="1" applyAlignment="1">
      <alignment horizontal="left" vertical="top" wrapText="1"/>
    </xf>
    <xf numFmtId="3" fontId="4" fillId="6" borderId="26" xfId="0" applyNumberFormat="1" applyFont="1" applyFill="1" applyBorder="1" applyAlignment="1">
      <alignment horizontal="center" vertical="top" wrapText="1"/>
    </xf>
    <xf numFmtId="49" fontId="6" fillId="11" borderId="40" xfId="0" applyNumberFormat="1" applyFont="1" applyFill="1" applyBorder="1" applyAlignment="1">
      <alignment horizontal="center" vertical="top"/>
    </xf>
    <xf numFmtId="49" fontId="6" fillId="11" borderId="57" xfId="0" applyNumberFormat="1" applyFont="1" applyFill="1" applyBorder="1" applyAlignment="1">
      <alignment horizontal="center" vertical="top"/>
    </xf>
    <xf numFmtId="3" fontId="4" fillId="11" borderId="52" xfId="0" applyNumberFormat="1" applyFont="1" applyFill="1" applyBorder="1" applyAlignment="1">
      <alignment horizontal="left" vertical="top" wrapText="1"/>
    </xf>
    <xf numFmtId="0" fontId="16" fillId="0" borderId="38" xfId="0" applyFont="1" applyBorder="1" applyAlignment="1">
      <alignment horizontal="center" vertical="top"/>
    </xf>
    <xf numFmtId="0" fontId="16" fillId="0" borderId="35" xfId="0" applyFont="1" applyBorder="1" applyAlignment="1">
      <alignment horizontal="left" vertical="top" wrapText="1"/>
    </xf>
    <xf numFmtId="3" fontId="4" fillId="6" borderId="50" xfId="1" applyNumberFormat="1" applyFont="1" applyFill="1" applyBorder="1" applyAlignment="1">
      <alignment horizontal="center" vertical="top" wrapText="1"/>
    </xf>
    <xf numFmtId="3" fontId="4" fillId="6" borderId="14" xfId="1" applyNumberFormat="1" applyFont="1" applyFill="1" applyBorder="1" applyAlignment="1">
      <alignment horizontal="center" vertical="top" wrapText="1"/>
    </xf>
    <xf numFmtId="0" fontId="4" fillId="6" borderId="50" xfId="1" applyNumberFormat="1" applyFont="1" applyFill="1" applyBorder="1" applyAlignment="1">
      <alignment horizontal="center" vertical="top" wrapText="1"/>
    </xf>
    <xf numFmtId="0" fontId="0" fillId="0" borderId="14" xfId="0" applyBorder="1" applyAlignment="1">
      <alignment horizontal="center" vertical="top"/>
    </xf>
    <xf numFmtId="3" fontId="4" fillId="6" borderId="38" xfId="0" applyNumberFormat="1" applyFont="1" applyFill="1" applyBorder="1" applyAlignment="1">
      <alignment horizontal="center" vertical="top" wrapText="1"/>
    </xf>
    <xf numFmtId="49" fontId="6" fillId="6" borderId="57" xfId="0" applyNumberFormat="1" applyFont="1" applyFill="1" applyBorder="1" applyAlignment="1">
      <alignment horizontal="center" vertical="top"/>
    </xf>
    <xf numFmtId="3" fontId="4" fillId="0" borderId="64"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0" fontId="16" fillId="0" borderId="11" xfId="0" applyFont="1" applyBorder="1" applyAlignment="1">
      <alignment vertical="top" wrapText="1"/>
    </xf>
    <xf numFmtId="3" fontId="22" fillId="11" borderId="11" xfId="0" applyNumberFormat="1" applyFont="1" applyFill="1" applyBorder="1" applyAlignment="1">
      <alignment horizontal="left" vertical="top" wrapText="1"/>
    </xf>
    <xf numFmtId="3" fontId="22" fillId="11" borderId="57" xfId="0" applyNumberFormat="1" applyFont="1" applyFill="1" applyBorder="1" applyAlignment="1">
      <alignment horizontal="left" vertical="top" wrapText="1"/>
    </xf>
    <xf numFmtId="0" fontId="4" fillId="11" borderId="11" xfId="0" applyFont="1" applyFill="1" applyBorder="1" applyAlignment="1">
      <alignment horizontal="center" vertical="center" textRotation="90" wrapText="1"/>
    </xf>
    <xf numFmtId="0" fontId="4" fillId="11" borderId="57" xfId="0" applyFont="1" applyFill="1" applyBorder="1" applyAlignment="1">
      <alignment horizontal="center" vertical="center" textRotation="90" wrapText="1"/>
    </xf>
    <xf numFmtId="0" fontId="4" fillId="11" borderId="52" xfId="0" applyFont="1" applyFill="1" applyBorder="1" applyAlignment="1">
      <alignment horizontal="left" vertical="top" wrapText="1"/>
    </xf>
    <xf numFmtId="49" fontId="7" fillId="11" borderId="52" xfId="0" applyNumberFormat="1" applyFont="1" applyFill="1" applyBorder="1" applyAlignment="1">
      <alignment horizontal="center" vertical="center" wrapText="1"/>
    </xf>
    <xf numFmtId="49" fontId="4" fillId="0" borderId="53" xfId="0" applyNumberFormat="1" applyFont="1" applyBorder="1" applyAlignment="1">
      <alignment horizontal="center" vertical="top" wrapText="1"/>
    </xf>
    <xf numFmtId="0" fontId="4" fillId="11" borderId="89" xfId="0" applyFont="1" applyFill="1" applyBorder="1" applyAlignment="1">
      <alignment horizontal="left" vertical="top" wrapText="1"/>
    </xf>
    <xf numFmtId="0" fontId="4" fillId="11" borderId="45" xfId="0" applyFont="1" applyFill="1" applyBorder="1" applyAlignment="1">
      <alignment horizontal="left" vertical="top" wrapText="1"/>
    </xf>
    <xf numFmtId="49" fontId="4" fillId="6" borderId="50" xfId="0" applyNumberFormat="1" applyFont="1" applyFill="1" applyBorder="1" applyAlignment="1">
      <alignment horizontal="center" vertical="center" wrapText="1"/>
    </xf>
    <xf numFmtId="49" fontId="4" fillId="6" borderId="14" xfId="0" applyNumberFormat="1" applyFont="1" applyFill="1" applyBorder="1" applyAlignment="1">
      <alignment horizontal="center" vertical="center" wrapText="1"/>
    </xf>
    <xf numFmtId="49" fontId="4" fillId="6" borderId="38" xfId="0" applyNumberFormat="1" applyFont="1" applyFill="1" applyBorder="1" applyAlignment="1">
      <alignment horizontal="center" vertical="center" wrapText="1"/>
    </xf>
    <xf numFmtId="3" fontId="4" fillId="9" borderId="36" xfId="0" applyNumberFormat="1" applyFont="1" applyFill="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4" fillId="0" borderId="36"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0" fontId="16" fillId="6" borderId="19" xfId="0" applyFont="1" applyFill="1" applyBorder="1" applyAlignment="1">
      <alignment horizontal="left" vertical="top" wrapText="1"/>
    </xf>
    <xf numFmtId="0" fontId="16" fillId="6" borderId="20" xfId="0" applyFont="1" applyFill="1" applyBorder="1" applyAlignment="1">
      <alignment horizontal="left" vertical="top" wrapText="1"/>
    </xf>
    <xf numFmtId="3" fontId="6" fillId="3" borderId="69" xfId="0" applyNumberFormat="1" applyFont="1" applyFill="1" applyBorder="1" applyAlignment="1">
      <alignment horizontal="right" vertical="top" wrapText="1"/>
    </xf>
    <xf numFmtId="0" fontId="4" fillId="6" borderId="64" xfId="0" applyFont="1" applyFill="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3" fontId="22" fillId="6" borderId="57" xfId="0" applyNumberFormat="1" applyFont="1" applyFill="1" applyBorder="1" applyAlignment="1">
      <alignment horizontal="left" vertical="top" wrapText="1"/>
    </xf>
    <xf numFmtId="3" fontId="22" fillId="6" borderId="52" xfId="0" applyNumberFormat="1" applyFont="1" applyFill="1" applyBorder="1" applyAlignment="1">
      <alignment horizontal="left" vertical="top" wrapText="1"/>
    </xf>
    <xf numFmtId="0" fontId="16" fillId="0" borderId="57" xfId="0" applyFont="1" applyBorder="1" applyAlignment="1">
      <alignmen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0" fontId="4" fillId="11" borderId="40" xfId="0" applyFont="1" applyFill="1" applyBorder="1" applyAlignment="1">
      <alignment horizontal="left" vertical="top" wrapText="1"/>
    </xf>
    <xf numFmtId="0" fontId="16" fillId="11" borderId="11" xfId="0" applyFont="1" applyFill="1" applyBorder="1" applyAlignment="1">
      <alignment wrapText="1"/>
    </xf>
    <xf numFmtId="0" fontId="16" fillId="11" borderId="57" xfId="0" applyFont="1" applyFill="1" applyBorder="1" applyAlignment="1">
      <alignment horizontal="left" vertical="top" wrapText="1"/>
    </xf>
    <xf numFmtId="49" fontId="7" fillId="12" borderId="11" xfId="0" applyNumberFormat="1" applyFont="1" applyFill="1" applyBorder="1" applyAlignment="1">
      <alignment horizontal="center" vertical="center" wrapText="1"/>
    </xf>
    <xf numFmtId="49" fontId="7" fillId="12" borderId="57" xfId="0" applyNumberFormat="1" applyFont="1" applyFill="1" applyBorder="1" applyAlignment="1">
      <alignment horizontal="center" vertical="center" wrapText="1"/>
    </xf>
    <xf numFmtId="3" fontId="22" fillId="6" borderId="10" xfId="0" applyNumberFormat="1" applyFont="1" applyFill="1" applyBorder="1" applyAlignment="1">
      <alignment vertical="top" wrapText="1"/>
    </xf>
    <xf numFmtId="3" fontId="22" fillId="6" borderId="35" xfId="0" applyNumberFormat="1" applyFont="1" applyFill="1" applyBorder="1" applyAlignment="1">
      <alignment vertical="top" wrapText="1"/>
    </xf>
    <xf numFmtId="0" fontId="16" fillId="0" borderId="53" xfId="0" applyFont="1" applyBorder="1" applyAlignment="1">
      <alignment horizontal="center" vertical="top" wrapText="1"/>
    </xf>
  </cellXfs>
  <cellStyles count="6">
    <cellStyle name="Įprastas" xfId="0" builtinId="0"/>
    <cellStyle name="Įprastas 2" xfId="5"/>
    <cellStyle name="Įprastas 4" xfId="4"/>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FFFFCC"/>
      <color rgb="FFFFFF99"/>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6"/>
  <sheetViews>
    <sheetView view="pageBreakPreview" topLeftCell="A61" zoomScaleNormal="100" zoomScaleSheetLayoutView="100" workbookViewId="0">
      <selection activeCell="G67" sqref="G67:G71"/>
    </sheetView>
  </sheetViews>
  <sheetFormatPr defaultColWidth="9.140625" defaultRowHeight="15"/>
  <cols>
    <col min="1" max="1" width="3" style="79" customWidth="1"/>
    <col min="2" max="2" width="2.7109375" style="79" customWidth="1"/>
    <col min="3" max="3" width="3" style="79" customWidth="1"/>
    <col min="4" max="4" width="33.7109375" style="79" customWidth="1"/>
    <col min="5" max="5" width="3.140625" style="79" customWidth="1"/>
    <col min="6" max="6" width="3.7109375" style="79" customWidth="1"/>
    <col min="7" max="7" width="8.140625" style="79" customWidth="1"/>
    <col min="8" max="16" width="8.28515625" style="79" customWidth="1"/>
    <col min="17" max="17" width="35.7109375" style="79" customWidth="1"/>
    <col min="18" max="20" width="4.5703125" style="79" customWidth="1"/>
    <col min="21" max="21" width="38.5703125" style="79" customWidth="1"/>
    <col min="22" max="22" width="10.140625" style="497" customWidth="1"/>
    <col min="23" max="16384" width="9.140625" style="79"/>
  </cols>
  <sheetData>
    <row r="1" spans="1:22" s="4" customFormat="1" ht="18" customHeight="1">
      <c r="A1" s="1"/>
      <c r="B1" s="1"/>
      <c r="C1" s="1"/>
      <c r="D1" s="1"/>
      <c r="E1" s="424"/>
      <c r="F1" s="425"/>
      <c r="G1" s="3"/>
      <c r="H1" s="1"/>
      <c r="I1" s="1"/>
      <c r="J1" s="1"/>
      <c r="K1" s="1"/>
      <c r="L1" s="1"/>
      <c r="M1" s="1"/>
      <c r="N1" s="1"/>
      <c r="O1" s="426"/>
      <c r="P1" s="427"/>
      <c r="Q1" s="427"/>
      <c r="R1" s="427"/>
      <c r="S1" s="428"/>
      <c r="U1" s="639" t="s">
        <v>160</v>
      </c>
    </row>
    <row r="2" spans="1:22" ht="12.75" customHeight="1">
      <c r="C2" s="380"/>
      <c r="Q2" s="532"/>
      <c r="R2" s="532"/>
      <c r="S2" s="532"/>
      <c r="T2" s="532"/>
      <c r="U2" s="532"/>
      <c r="V2" s="79"/>
    </row>
    <row r="3" spans="1:22" ht="14.25" customHeight="1">
      <c r="C3" s="380"/>
      <c r="Q3" s="628"/>
      <c r="R3" s="629"/>
      <c r="S3" s="629"/>
      <c r="T3" s="629"/>
      <c r="U3" s="629"/>
      <c r="V3" s="79"/>
    </row>
    <row r="4" spans="1:22" s="1" customFormat="1" ht="15" customHeight="1">
      <c r="A4" s="625"/>
      <c r="B4" s="625"/>
      <c r="C4" s="381"/>
      <c r="D4" s="1593" t="s">
        <v>212</v>
      </c>
      <c r="E4" s="1593"/>
      <c r="F4" s="1593"/>
      <c r="G4" s="1593"/>
      <c r="H4" s="1593"/>
      <c r="I4" s="1593"/>
      <c r="J4" s="1593"/>
      <c r="K4" s="1593"/>
      <c r="L4" s="1593"/>
      <c r="M4" s="1593"/>
      <c r="N4" s="1593"/>
      <c r="O4" s="1593"/>
      <c r="P4" s="1593"/>
      <c r="Q4" s="1593"/>
      <c r="R4" s="625"/>
      <c r="S4" s="625"/>
      <c r="T4" s="625"/>
      <c r="U4" s="625"/>
    </row>
    <row r="5" spans="1:22" s="1" customFormat="1">
      <c r="A5" s="625"/>
      <c r="B5" s="625"/>
      <c r="C5" s="381"/>
      <c r="D5" s="1594" t="s">
        <v>107</v>
      </c>
      <c r="E5" s="1595"/>
      <c r="F5" s="1595"/>
      <c r="G5" s="1595"/>
      <c r="H5" s="1595"/>
      <c r="I5" s="1595"/>
      <c r="J5" s="1595"/>
      <c r="K5" s="1595"/>
      <c r="L5" s="1595"/>
      <c r="M5" s="1595"/>
      <c r="N5" s="1595"/>
      <c r="O5" s="1595"/>
      <c r="P5" s="1595"/>
      <c r="Q5" s="1595"/>
      <c r="R5" s="625"/>
      <c r="S5" s="625"/>
      <c r="T5" s="625"/>
      <c r="U5" s="625"/>
    </row>
    <row r="6" spans="1:22" s="1" customFormat="1" ht="15" customHeight="1">
      <c r="A6" s="626"/>
      <c r="B6" s="626"/>
      <c r="C6" s="626"/>
      <c r="D6" s="1369" t="s">
        <v>222</v>
      </c>
      <c r="E6" s="1370"/>
      <c r="F6" s="1370"/>
      <c r="G6" s="1370"/>
      <c r="H6" s="1370"/>
      <c r="I6" s="1370"/>
      <c r="J6" s="1370"/>
      <c r="K6" s="1370"/>
      <c r="L6" s="1370"/>
      <c r="M6" s="1370"/>
      <c r="N6" s="1370"/>
      <c r="O6" s="1370"/>
      <c r="P6" s="1370"/>
      <c r="Q6" s="1370"/>
      <c r="R6" s="626"/>
      <c r="S6" s="626"/>
      <c r="T6" s="626"/>
      <c r="U6" s="626"/>
    </row>
    <row r="7" spans="1:22" s="1" customFormat="1" ht="13.5" thickBot="1">
      <c r="E7" s="2"/>
      <c r="F7" s="3"/>
      <c r="Q7" s="1596" t="s">
        <v>106</v>
      </c>
      <c r="R7" s="1596"/>
      <c r="S7" s="1596"/>
      <c r="T7" s="1596"/>
      <c r="U7" s="1596"/>
      <c r="V7" s="498"/>
    </row>
    <row r="8" spans="1:22" s="48" customFormat="1" ht="33.75" customHeight="1">
      <c r="A8" s="1608" t="s">
        <v>0</v>
      </c>
      <c r="B8" s="1611" t="s">
        <v>1</v>
      </c>
      <c r="C8" s="1611" t="s">
        <v>2</v>
      </c>
      <c r="D8" s="1614" t="s">
        <v>4</v>
      </c>
      <c r="E8" s="1617" t="s">
        <v>5</v>
      </c>
      <c r="F8" s="1620" t="s">
        <v>6</v>
      </c>
      <c r="G8" s="1623" t="s">
        <v>8</v>
      </c>
      <c r="H8" s="1375" t="s">
        <v>206</v>
      </c>
      <c r="I8" s="1381" t="s">
        <v>219</v>
      </c>
      <c r="J8" s="1378" t="s">
        <v>158</v>
      </c>
      <c r="K8" s="1375" t="s">
        <v>127</v>
      </c>
      <c r="L8" s="1381" t="s">
        <v>220</v>
      </c>
      <c r="M8" s="1378" t="s">
        <v>158</v>
      </c>
      <c r="N8" s="1375" t="s">
        <v>161</v>
      </c>
      <c r="O8" s="1381" t="s">
        <v>221</v>
      </c>
      <c r="P8" s="1378" t="s">
        <v>158</v>
      </c>
      <c r="Q8" s="1364" t="s">
        <v>9</v>
      </c>
      <c r="R8" s="1365"/>
      <c r="S8" s="1365"/>
      <c r="T8" s="1366"/>
      <c r="U8" s="720"/>
      <c r="V8" s="499"/>
    </row>
    <row r="9" spans="1:22" s="48" customFormat="1" ht="18.75" customHeight="1">
      <c r="A9" s="1609"/>
      <c r="B9" s="1612"/>
      <c r="C9" s="1612"/>
      <c r="D9" s="1615"/>
      <c r="E9" s="1618"/>
      <c r="F9" s="1621"/>
      <c r="G9" s="1624"/>
      <c r="H9" s="1376"/>
      <c r="I9" s="1382"/>
      <c r="J9" s="1379"/>
      <c r="K9" s="1376"/>
      <c r="L9" s="1382"/>
      <c r="M9" s="1379"/>
      <c r="N9" s="1376"/>
      <c r="O9" s="1382"/>
      <c r="P9" s="1379"/>
      <c r="Q9" s="1591" t="s">
        <v>4</v>
      </c>
      <c r="R9" s="1367" t="s">
        <v>10</v>
      </c>
      <c r="S9" s="1367"/>
      <c r="T9" s="1368"/>
      <c r="U9" s="721" t="s">
        <v>159</v>
      </c>
      <c r="V9" s="499"/>
    </row>
    <row r="10" spans="1:22" s="48" customFormat="1" ht="78" customHeight="1" thickBot="1">
      <c r="A10" s="1610"/>
      <c r="B10" s="1613"/>
      <c r="C10" s="1613"/>
      <c r="D10" s="1616"/>
      <c r="E10" s="1619"/>
      <c r="F10" s="1622"/>
      <c r="G10" s="1625"/>
      <c r="H10" s="1377"/>
      <c r="I10" s="1383"/>
      <c r="J10" s="1380"/>
      <c r="K10" s="1377"/>
      <c r="L10" s="1383"/>
      <c r="M10" s="1380"/>
      <c r="N10" s="1377"/>
      <c r="O10" s="1383"/>
      <c r="P10" s="1380"/>
      <c r="Q10" s="1592"/>
      <c r="R10" s="421" t="s">
        <v>111</v>
      </c>
      <c r="S10" s="421" t="s">
        <v>128</v>
      </c>
      <c r="T10" s="723" t="s">
        <v>162</v>
      </c>
      <c r="U10" s="722"/>
      <c r="V10" s="499"/>
    </row>
    <row r="11" spans="1:22" s="1" customFormat="1" ht="15.75" customHeight="1">
      <c r="A11" s="1597" t="s">
        <v>11</v>
      </c>
      <c r="B11" s="1598"/>
      <c r="C11" s="1598"/>
      <c r="D11" s="1598"/>
      <c r="E11" s="1598"/>
      <c r="F11" s="1598"/>
      <c r="G11" s="1598"/>
      <c r="H11" s="1598"/>
      <c r="I11" s="1598"/>
      <c r="J11" s="1598"/>
      <c r="K11" s="1598"/>
      <c r="L11" s="1598"/>
      <c r="M11" s="1598"/>
      <c r="N11" s="1598"/>
      <c r="O11" s="1598"/>
      <c r="P11" s="1598"/>
      <c r="Q11" s="1598"/>
      <c r="R11" s="1598"/>
      <c r="S11" s="1598"/>
      <c r="T11" s="1598"/>
      <c r="U11" s="1599"/>
      <c r="V11" s="498"/>
    </row>
    <row r="12" spans="1:22" s="1" customFormat="1" ht="14.25" customHeight="1">
      <c r="A12" s="1600" t="s">
        <v>12</v>
      </c>
      <c r="B12" s="1601"/>
      <c r="C12" s="1601"/>
      <c r="D12" s="1601"/>
      <c r="E12" s="1601"/>
      <c r="F12" s="1601"/>
      <c r="G12" s="1601"/>
      <c r="H12" s="1601"/>
      <c r="I12" s="1601"/>
      <c r="J12" s="1601"/>
      <c r="K12" s="1601"/>
      <c r="L12" s="1601"/>
      <c r="M12" s="1601"/>
      <c r="N12" s="1601"/>
      <c r="O12" s="1601"/>
      <c r="P12" s="1601"/>
      <c r="Q12" s="1601"/>
      <c r="R12" s="1601"/>
      <c r="S12" s="1601"/>
      <c r="T12" s="1601"/>
      <c r="U12" s="1602"/>
      <c r="V12" s="498"/>
    </row>
    <row r="13" spans="1:22" s="1" customFormat="1" ht="14.25" customHeight="1">
      <c r="A13" s="5" t="s">
        <v>13</v>
      </c>
      <c r="B13" s="1603" t="s">
        <v>14</v>
      </c>
      <c r="C13" s="1603"/>
      <c r="D13" s="1603"/>
      <c r="E13" s="1603"/>
      <c r="F13" s="1603"/>
      <c r="G13" s="1603"/>
      <c r="H13" s="1603"/>
      <c r="I13" s="1603"/>
      <c r="J13" s="1603"/>
      <c r="K13" s="1603"/>
      <c r="L13" s="1603"/>
      <c r="M13" s="1603"/>
      <c r="N13" s="1603"/>
      <c r="O13" s="1603"/>
      <c r="P13" s="1603"/>
      <c r="Q13" s="1603"/>
      <c r="R13" s="1603"/>
      <c r="S13" s="1603"/>
      <c r="T13" s="1603"/>
      <c r="U13" s="1604"/>
      <c r="V13" s="498"/>
    </row>
    <row r="14" spans="1:22" s="1" customFormat="1" ht="15.75" customHeight="1">
      <c r="A14" s="6" t="s">
        <v>13</v>
      </c>
      <c r="B14" s="7" t="s">
        <v>13</v>
      </c>
      <c r="C14" s="1605" t="s">
        <v>15</v>
      </c>
      <c r="D14" s="1606"/>
      <c r="E14" s="1606"/>
      <c r="F14" s="1606"/>
      <c r="G14" s="1606"/>
      <c r="H14" s="1606"/>
      <c r="I14" s="1606"/>
      <c r="J14" s="1606"/>
      <c r="K14" s="1606"/>
      <c r="L14" s="1606"/>
      <c r="M14" s="1606"/>
      <c r="N14" s="1606"/>
      <c r="O14" s="1606"/>
      <c r="P14" s="1606"/>
      <c r="Q14" s="1606"/>
      <c r="R14" s="1606"/>
      <c r="S14" s="1606"/>
      <c r="T14" s="1606"/>
      <c r="U14" s="1607"/>
      <c r="V14" s="498"/>
    </row>
    <row r="15" spans="1:22" s="4" customFormat="1" ht="15" customHeight="1">
      <c r="A15" s="8" t="s">
        <v>13</v>
      </c>
      <c r="B15" s="9" t="s">
        <v>13</v>
      </c>
      <c r="C15" s="235" t="s">
        <v>13</v>
      </c>
      <c r="D15" s="1581" t="s">
        <v>16</v>
      </c>
      <c r="E15" s="10"/>
      <c r="F15" s="69">
        <v>1</v>
      </c>
      <c r="G15" s="465" t="s">
        <v>19</v>
      </c>
      <c r="H15" s="819">
        <f>8919.4+12.7</f>
        <v>8932.1</v>
      </c>
      <c r="I15" s="646">
        <f>8919.4+12.7</f>
        <v>8932.1</v>
      </c>
      <c r="J15" s="816"/>
      <c r="K15" s="541">
        <v>8952.2000000000007</v>
      </c>
      <c r="L15" s="646">
        <v>8952.2000000000007</v>
      </c>
      <c r="M15" s="650"/>
      <c r="N15" s="541">
        <v>8947.2000000000007</v>
      </c>
      <c r="O15" s="646">
        <v>8947.2000000000007</v>
      </c>
      <c r="P15" s="641"/>
      <c r="Q15" s="477"/>
      <c r="R15" s="536"/>
      <c r="S15" s="536"/>
      <c r="T15" s="208"/>
      <c r="U15" s="787"/>
      <c r="V15" s="500"/>
    </row>
    <row r="16" spans="1:22" s="4" customFormat="1" ht="15" customHeight="1">
      <c r="A16" s="534"/>
      <c r="B16" s="9"/>
      <c r="C16" s="535"/>
      <c r="D16" s="1581"/>
      <c r="E16" s="10"/>
      <c r="F16" s="69"/>
      <c r="G16" s="465" t="s">
        <v>40</v>
      </c>
      <c r="H16" s="817">
        <v>10</v>
      </c>
      <c r="I16" s="647">
        <v>10</v>
      </c>
      <c r="J16" s="641"/>
      <c r="K16" s="541"/>
      <c r="L16" s="647"/>
      <c r="M16" s="641"/>
      <c r="N16" s="541"/>
      <c r="O16" s="647"/>
      <c r="P16" s="641"/>
      <c r="Q16" s="688"/>
      <c r="R16" s="537"/>
      <c r="S16" s="538"/>
      <c r="T16" s="539"/>
      <c r="U16" s="820"/>
      <c r="V16" s="500"/>
    </row>
    <row r="17" spans="1:22" s="4" customFormat="1" ht="15" customHeight="1">
      <c r="A17" s="534"/>
      <c r="B17" s="9"/>
      <c r="C17" s="535"/>
      <c r="D17" s="1581"/>
      <c r="E17" s="10"/>
      <c r="F17" s="69"/>
      <c r="G17" s="465" t="s">
        <v>41</v>
      </c>
      <c r="H17" s="817">
        <v>22.3</v>
      </c>
      <c r="I17" s="647">
        <v>22.3</v>
      </c>
      <c r="J17" s="641"/>
      <c r="K17" s="541"/>
      <c r="L17" s="647"/>
      <c r="M17" s="650"/>
      <c r="N17" s="541"/>
      <c r="O17" s="647"/>
      <c r="P17" s="641"/>
      <c r="Q17" s="688"/>
      <c r="R17" s="537"/>
      <c r="S17" s="538"/>
      <c r="T17" s="539"/>
      <c r="U17" s="820"/>
      <c r="V17" s="500"/>
    </row>
    <row r="18" spans="1:22" s="4" customFormat="1" ht="15" customHeight="1">
      <c r="A18" s="534"/>
      <c r="B18" s="9"/>
      <c r="C18" s="535"/>
      <c r="D18" s="1581"/>
      <c r="E18" s="10"/>
      <c r="F18" s="69"/>
      <c r="G18" s="465" t="s">
        <v>20</v>
      </c>
      <c r="H18" s="242">
        <f>471.8+41-0.8</f>
        <v>511.99999999999994</v>
      </c>
      <c r="I18" s="118">
        <f>471.8+41-0.8</f>
        <v>511.99999999999994</v>
      </c>
      <c r="J18" s="258"/>
      <c r="K18" s="541"/>
      <c r="L18" s="647"/>
      <c r="M18" s="641"/>
      <c r="N18" s="541"/>
      <c r="O18" s="647"/>
      <c r="P18" s="641"/>
      <c r="Q18" s="688"/>
      <c r="R18" s="537"/>
      <c r="S18" s="538"/>
      <c r="T18" s="539"/>
      <c r="U18" s="820"/>
      <c r="V18" s="500"/>
    </row>
    <row r="19" spans="1:22" s="4" customFormat="1" ht="15" customHeight="1">
      <c r="A19" s="534"/>
      <c r="B19" s="9"/>
      <c r="C19" s="535"/>
      <c r="D19" s="1581"/>
      <c r="E19" s="10"/>
      <c r="F19" s="69"/>
      <c r="G19" s="19" t="s">
        <v>23</v>
      </c>
      <c r="H19" s="817">
        <v>3.3</v>
      </c>
      <c r="I19" s="647">
        <v>3.3</v>
      </c>
      <c r="J19" s="641"/>
      <c r="K19" s="541">
        <v>3.3</v>
      </c>
      <c r="L19" s="647">
        <v>3.3</v>
      </c>
      <c r="M19" s="641"/>
      <c r="N19" s="541">
        <v>3.3</v>
      </c>
      <c r="O19" s="647">
        <v>3.3</v>
      </c>
      <c r="P19" s="641"/>
      <c r="Q19" s="734"/>
      <c r="R19" s="537"/>
      <c r="S19" s="538"/>
      <c r="T19" s="539"/>
      <c r="U19" s="820"/>
      <c r="V19" s="500"/>
    </row>
    <row r="20" spans="1:22" s="4" customFormat="1" ht="15" customHeight="1">
      <c r="A20" s="534"/>
      <c r="B20" s="9"/>
      <c r="C20" s="535"/>
      <c r="D20" s="1581"/>
      <c r="E20" s="10"/>
      <c r="F20" s="69"/>
      <c r="G20" s="19" t="s">
        <v>110</v>
      </c>
      <c r="H20" s="817">
        <f>88.3+6-18</f>
        <v>76.3</v>
      </c>
      <c r="I20" s="647">
        <f>88.3+6-18</f>
        <v>76.3</v>
      </c>
      <c r="J20" s="751"/>
      <c r="K20" s="541"/>
      <c r="L20" s="647"/>
      <c r="M20" s="650"/>
      <c r="N20" s="541"/>
      <c r="O20" s="647"/>
      <c r="P20" s="641"/>
      <c r="Q20" s="734"/>
      <c r="R20" s="537"/>
      <c r="S20" s="538"/>
      <c r="T20" s="539"/>
      <c r="U20" s="788"/>
      <c r="V20" s="500"/>
    </row>
    <row r="21" spans="1:22" s="4" customFormat="1" ht="15" customHeight="1">
      <c r="A21" s="534"/>
      <c r="B21" s="9"/>
      <c r="C21" s="535"/>
      <c r="D21" s="1581"/>
      <c r="E21" s="10"/>
      <c r="F21" s="69"/>
      <c r="G21" s="736" t="s">
        <v>20</v>
      </c>
      <c r="H21" s="818">
        <v>28.1</v>
      </c>
      <c r="I21" s="744">
        <v>28.1</v>
      </c>
      <c r="J21" s="737"/>
      <c r="K21" s="738"/>
      <c r="L21" s="739"/>
      <c r="M21" s="740"/>
      <c r="N21" s="738"/>
      <c r="O21" s="739"/>
      <c r="P21" s="740"/>
      <c r="Q21" s="735"/>
      <c r="R21" s="741"/>
      <c r="S21" s="742"/>
      <c r="T21" s="743"/>
      <c r="U21" s="789"/>
      <c r="V21" s="500"/>
    </row>
    <row r="22" spans="1:22" s="4" customFormat="1" ht="25.5" customHeight="1">
      <c r="A22" s="11"/>
      <c r="B22" s="12"/>
      <c r="C22" s="533"/>
      <c r="D22" s="1581"/>
      <c r="E22" s="630"/>
      <c r="F22" s="585"/>
      <c r="G22" s="19"/>
      <c r="H22" s="83"/>
      <c r="I22" s="118"/>
      <c r="J22" s="147"/>
      <c r="K22" s="83"/>
      <c r="L22" s="118"/>
      <c r="M22" s="147"/>
      <c r="N22" s="83"/>
      <c r="O22" s="118"/>
      <c r="P22" s="147"/>
      <c r="Q22" s="267" t="s">
        <v>109</v>
      </c>
      <c r="R22" s="731">
        <v>438.5</v>
      </c>
      <c r="S22" s="732">
        <v>438.5</v>
      </c>
      <c r="T22" s="733">
        <v>438.5</v>
      </c>
      <c r="U22" s="789"/>
      <c r="V22" s="500"/>
    </row>
    <row r="23" spans="1:22" s="1" customFormat="1" ht="14.25" customHeight="1">
      <c r="A23" s="1481"/>
      <c r="B23" s="1565"/>
      <c r="C23" s="1582"/>
      <c r="D23" s="1581"/>
      <c r="E23" s="379"/>
      <c r="F23" s="585"/>
      <c r="G23" s="16"/>
      <c r="H23" s="83"/>
      <c r="I23" s="118"/>
      <c r="J23" s="147"/>
      <c r="K23" s="83"/>
      <c r="L23" s="118"/>
      <c r="M23" s="147"/>
      <c r="N23" s="83"/>
      <c r="O23" s="118"/>
      <c r="P23" s="147"/>
      <c r="Q23" s="705" t="s">
        <v>209</v>
      </c>
      <c r="R23" s="175">
        <v>4</v>
      </c>
      <c r="S23" s="284">
        <v>4</v>
      </c>
      <c r="T23" s="276">
        <v>4</v>
      </c>
      <c r="U23" s="401"/>
      <c r="V23" s="498"/>
    </row>
    <row r="24" spans="1:22" s="1" customFormat="1" ht="15.75" customHeight="1">
      <c r="A24" s="1481"/>
      <c r="B24" s="1565"/>
      <c r="C24" s="1582"/>
      <c r="D24" s="1581"/>
      <c r="E24" s="379"/>
      <c r="F24" s="585"/>
      <c r="G24" s="19"/>
      <c r="H24" s="83"/>
      <c r="I24" s="118"/>
      <c r="J24" s="147"/>
      <c r="K24" s="83"/>
      <c r="L24" s="118"/>
      <c r="M24" s="147"/>
      <c r="N24" s="83"/>
      <c r="O24" s="118"/>
      <c r="P24" s="147"/>
      <c r="Q24" s="705" t="s">
        <v>98</v>
      </c>
      <c r="R24" s="175">
        <v>21</v>
      </c>
      <c r="S24" s="284">
        <v>21</v>
      </c>
      <c r="T24" s="276">
        <v>21</v>
      </c>
      <c r="U24" s="401"/>
      <c r="V24" s="498"/>
    </row>
    <row r="25" spans="1:22" s="1" customFormat="1" ht="26.25" customHeight="1">
      <c r="A25" s="583"/>
      <c r="B25" s="584"/>
      <c r="C25" s="585"/>
      <c r="D25" s="1581"/>
      <c r="E25" s="354"/>
      <c r="F25" s="585"/>
      <c r="G25" s="19"/>
      <c r="H25" s="83"/>
      <c r="I25" s="118"/>
      <c r="J25" s="147"/>
      <c r="K25" s="83"/>
      <c r="L25" s="118"/>
      <c r="M25" s="147"/>
      <c r="N25" s="83"/>
      <c r="O25" s="118"/>
      <c r="P25" s="147"/>
      <c r="Q25" s="752" t="s">
        <v>165</v>
      </c>
      <c r="R25" s="472" t="s">
        <v>163</v>
      </c>
      <c r="S25" s="753" t="s">
        <v>163</v>
      </c>
      <c r="T25" s="544" t="s">
        <v>163</v>
      </c>
      <c r="U25" s="710"/>
      <c r="V25" s="498"/>
    </row>
    <row r="26" spans="1:22" s="1" customFormat="1" ht="27" customHeight="1">
      <c r="A26" s="23"/>
      <c r="B26" s="604"/>
      <c r="C26" s="585"/>
      <c r="D26" s="1581"/>
      <c r="E26" s="350"/>
      <c r="F26" s="585"/>
      <c r="G26" s="283"/>
      <c r="H26" s="83"/>
      <c r="I26" s="118"/>
      <c r="J26" s="147"/>
      <c r="K26" s="137"/>
      <c r="L26" s="118"/>
      <c r="M26" s="147"/>
      <c r="N26" s="137"/>
      <c r="O26" s="118"/>
      <c r="P26" s="147"/>
      <c r="Q26" s="1583" t="s">
        <v>208</v>
      </c>
      <c r="R26" s="1585" t="s">
        <v>166</v>
      </c>
      <c r="S26" s="1571" t="s">
        <v>166</v>
      </c>
      <c r="T26" s="1576" t="s">
        <v>166</v>
      </c>
      <c r="U26" s="1573"/>
      <c r="V26" s="501"/>
    </row>
    <row r="27" spans="1:22" s="1" customFormat="1" ht="11.25" customHeight="1">
      <c r="A27" s="23"/>
      <c r="B27" s="604"/>
      <c r="C27" s="585"/>
      <c r="D27" s="1581"/>
      <c r="E27" s="350"/>
      <c r="F27" s="585"/>
      <c r="G27" s="283"/>
      <c r="H27" s="83"/>
      <c r="I27" s="118"/>
      <c r="J27" s="147"/>
      <c r="K27" s="137"/>
      <c r="L27" s="118"/>
      <c r="M27" s="147"/>
      <c r="N27" s="137"/>
      <c r="O27" s="118"/>
      <c r="P27" s="147"/>
      <c r="Q27" s="1584"/>
      <c r="R27" s="1586"/>
      <c r="S27" s="1572"/>
      <c r="T27" s="1577"/>
      <c r="U27" s="1574"/>
      <c r="V27" s="498"/>
    </row>
    <row r="28" spans="1:22" s="1" customFormat="1" ht="43.5" customHeight="1">
      <c r="A28" s="23"/>
      <c r="B28" s="746"/>
      <c r="C28" s="747"/>
      <c r="D28" s="1581"/>
      <c r="E28" s="350"/>
      <c r="F28" s="747"/>
      <c r="G28" s="888" t="s">
        <v>19</v>
      </c>
      <c r="H28" s="889"/>
      <c r="I28" s="890">
        <v>-14</v>
      </c>
      <c r="J28" s="891">
        <f>I28-H28</f>
        <v>-14</v>
      </c>
      <c r="K28" s="892"/>
      <c r="L28" s="893"/>
      <c r="M28" s="894"/>
      <c r="N28" s="892"/>
      <c r="O28" s="893"/>
      <c r="P28" s="894"/>
      <c r="Q28" s="135" t="s">
        <v>236</v>
      </c>
      <c r="R28" s="922" t="s">
        <v>235</v>
      </c>
      <c r="S28" s="754"/>
      <c r="T28" s="750"/>
      <c r="U28" s="904" t="s">
        <v>232</v>
      </c>
      <c r="V28" s="498"/>
    </row>
    <row r="29" spans="1:22" s="1" customFormat="1" ht="24" customHeight="1">
      <c r="A29" s="583"/>
      <c r="B29" s="604"/>
      <c r="C29" s="596"/>
      <c r="D29" s="1581"/>
      <c r="E29" s="124"/>
      <c r="F29" s="587"/>
      <c r="G29" s="16"/>
      <c r="H29" s="83"/>
      <c r="I29" s="118"/>
      <c r="J29" s="147"/>
      <c r="K29" s="83"/>
      <c r="L29" s="118"/>
      <c r="M29" s="147"/>
      <c r="N29" s="83"/>
      <c r="O29" s="118"/>
      <c r="P29" s="147"/>
      <c r="Q29" s="699" t="s">
        <v>168</v>
      </c>
      <c r="R29" s="422" t="s">
        <v>167</v>
      </c>
      <c r="S29" s="388" t="s">
        <v>167</v>
      </c>
      <c r="T29" s="545" t="s">
        <v>167</v>
      </c>
      <c r="U29" s="711"/>
      <c r="V29" s="502"/>
    </row>
    <row r="30" spans="1:22" s="1" customFormat="1" ht="26.25" customHeight="1">
      <c r="A30" s="583"/>
      <c r="B30" s="584"/>
      <c r="C30" s="596"/>
      <c r="D30" s="601"/>
      <c r="E30" s="65"/>
      <c r="F30" s="585"/>
      <c r="G30" s="19"/>
      <c r="H30" s="83"/>
      <c r="I30" s="118"/>
      <c r="J30" s="147"/>
      <c r="K30" s="83"/>
      <c r="L30" s="118"/>
      <c r="M30" s="147"/>
      <c r="N30" s="83"/>
      <c r="O30" s="118"/>
      <c r="P30" s="147"/>
      <c r="Q30" s="895" t="s">
        <v>129</v>
      </c>
      <c r="R30" s="472">
        <v>95.4</v>
      </c>
      <c r="S30" s="473" t="s">
        <v>169</v>
      </c>
      <c r="T30" s="474" t="s">
        <v>169</v>
      </c>
      <c r="U30" s="712"/>
      <c r="V30" s="498"/>
    </row>
    <row r="31" spans="1:22" s="1" customFormat="1" ht="79.5" customHeight="1">
      <c r="A31" s="23"/>
      <c r="B31" s="584"/>
      <c r="C31" s="585"/>
      <c r="D31" s="599"/>
      <c r="E31" s="20"/>
      <c r="F31" s="585"/>
      <c r="G31" s="896" t="s">
        <v>19</v>
      </c>
      <c r="H31" s="900"/>
      <c r="I31" s="901">
        <v>-19.399999999999999</v>
      </c>
      <c r="J31" s="902">
        <f>I31-H31</f>
        <v>-19.399999999999999</v>
      </c>
      <c r="K31" s="897"/>
      <c r="L31" s="898"/>
      <c r="M31" s="899"/>
      <c r="N31" s="897"/>
      <c r="O31" s="898"/>
      <c r="P31" s="899"/>
      <c r="Q31" s="853" t="s">
        <v>103</v>
      </c>
      <c r="R31" s="917" t="s">
        <v>234</v>
      </c>
      <c r="S31" s="284">
        <v>55</v>
      </c>
      <c r="T31" s="276">
        <v>55</v>
      </c>
      <c r="U31" s="905" t="s">
        <v>233</v>
      </c>
      <c r="V31" s="498"/>
    </row>
    <row r="32" spans="1:22" s="1" customFormat="1" ht="16.5" customHeight="1" thickBot="1">
      <c r="A32" s="26"/>
      <c r="B32" s="594"/>
      <c r="C32" s="251"/>
      <c r="D32" s="600"/>
      <c r="E32" s="389"/>
      <c r="F32" s="390"/>
      <c r="G32" s="453" t="s">
        <v>47</v>
      </c>
      <c r="H32" s="85">
        <f t="shared" ref="H32:P32" si="0">SUM(H15:H31)</f>
        <v>9584.0999999999985</v>
      </c>
      <c r="I32" s="201">
        <f t="shared" si="0"/>
        <v>9550.6999999999989</v>
      </c>
      <c r="J32" s="903">
        <f t="shared" si="0"/>
        <v>-33.4</v>
      </c>
      <c r="K32" s="85">
        <f t="shared" si="0"/>
        <v>8955.5</v>
      </c>
      <c r="L32" s="201">
        <f t="shared" si="0"/>
        <v>8955.5</v>
      </c>
      <c r="M32" s="200">
        <f t="shared" si="0"/>
        <v>0</v>
      </c>
      <c r="N32" s="85">
        <f t="shared" si="0"/>
        <v>8950.5</v>
      </c>
      <c r="O32" s="201">
        <f t="shared" si="0"/>
        <v>8950.5</v>
      </c>
      <c r="P32" s="200">
        <f t="shared" si="0"/>
        <v>0</v>
      </c>
      <c r="Q32" s="455"/>
      <c r="R32" s="399"/>
      <c r="S32" s="695"/>
      <c r="T32" s="698"/>
      <c r="U32" s="401"/>
    </row>
    <row r="33" spans="1:22" s="1" customFormat="1" ht="18" customHeight="1">
      <c r="A33" s="1481" t="s">
        <v>13</v>
      </c>
      <c r="B33" s="1565" t="s">
        <v>13</v>
      </c>
      <c r="C33" s="1499" t="s">
        <v>21</v>
      </c>
      <c r="D33" s="1557" t="s">
        <v>45</v>
      </c>
      <c r="E33" s="1509"/>
      <c r="F33" s="1568" t="s">
        <v>18</v>
      </c>
      <c r="G33" s="261" t="s">
        <v>19</v>
      </c>
      <c r="H33" s="139">
        <f>235-1</f>
        <v>234</v>
      </c>
      <c r="I33" s="117">
        <f>235-1</f>
        <v>234</v>
      </c>
      <c r="J33" s="151"/>
      <c r="K33" s="83">
        <v>235.7</v>
      </c>
      <c r="L33" s="118">
        <v>235.7</v>
      </c>
      <c r="M33" s="147"/>
      <c r="N33" s="83">
        <v>235.7</v>
      </c>
      <c r="O33" s="118">
        <v>235.7</v>
      </c>
      <c r="P33" s="147"/>
      <c r="Q33" s="1501" t="s">
        <v>46</v>
      </c>
      <c r="R33" s="397">
        <v>9</v>
      </c>
      <c r="S33" s="1587">
        <v>9</v>
      </c>
      <c r="T33" s="1578">
        <v>9</v>
      </c>
      <c r="U33" s="1590"/>
      <c r="V33" s="498"/>
    </row>
    <row r="34" spans="1:22" s="1" customFormat="1" ht="16.5" customHeight="1">
      <c r="A34" s="1481"/>
      <c r="B34" s="1565"/>
      <c r="C34" s="1499"/>
      <c r="D34" s="1557"/>
      <c r="E34" s="1509"/>
      <c r="F34" s="1568"/>
      <c r="G34" s="22"/>
      <c r="H34" s="110"/>
      <c r="I34" s="154"/>
      <c r="J34" s="148"/>
      <c r="K34" s="110"/>
      <c r="L34" s="154"/>
      <c r="M34" s="148"/>
      <c r="N34" s="110"/>
      <c r="O34" s="154"/>
      <c r="P34" s="148"/>
      <c r="Q34" s="1519"/>
      <c r="R34" s="398"/>
      <c r="S34" s="1588"/>
      <c r="T34" s="1579"/>
      <c r="U34" s="1590"/>
      <c r="V34" s="498"/>
    </row>
    <row r="35" spans="1:22" s="1" customFormat="1" ht="15.75" customHeight="1" thickBot="1">
      <c r="A35" s="1495"/>
      <c r="B35" s="1570"/>
      <c r="C35" s="1504"/>
      <c r="D35" s="1551"/>
      <c r="E35" s="1510"/>
      <c r="F35" s="1569"/>
      <c r="G35" s="624" t="s">
        <v>47</v>
      </c>
      <c r="H35" s="204">
        <f t="shared" ref="H35" si="1">SUM(H33:H34)</f>
        <v>234</v>
      </c>
      <c r="I35" s="431">
        <f t="shared" ref="I35:P35" si="2">SUM(I33:I34)</f>
        <v>234</v>
      </c>
      <c r="J35" s="430">
        <f t="shared" ref="J35:L35" si="3">SUM(J33:J34)</f>
        <v>0</v>
      </c>
      <c r="K35" s="204">
        <f t="shared" si="3"/>
        <v>235.7</v>
      </c>
      <c r="L35" s="431">
        <f t="shared" si="3"/>
        <v>235.7</v>
      </c>
      <c r="M35" s="430">
        <f t="shared" si="2"/>
        <v>0</v>
      </c>
      <c r="N35" s="204">
        <f t="shared" ref="N35:O35" si="4">SUM(N33:N34)</f>
        <v>235.7</v>
      </c>
      <c r="O35" s="431">
        <f t="shared" si="4"/>
        <v>235.7</v>
      </c>
      <c r="P35" s="430">
        <f t="shared" si="2"/>
        <v>0</v>
      </c>
      <c r="Q35" s="1575"/>
      <c r="R35" s="399"/>
      <c r="S35" s="1589"/>
      <c r="T35" s="1580"/>
      <c r="U35" s="1590"/>
      <c r="V35" s="498"/>
    </row>
    <row r="36" spans="1:22" s="1" customFormat="1" ht="15" customHeight="1">
      <c r="A36" s="1494" t="s">
        <v>13</v>
      </c>
      <c r="B36" s="1564" t="s">
        <v>13</v>
      </c>
      <c r="C36" s="1503" t="s">
        <v>25</v>
      </c>
      <c r="D36" s="1550" t="s">
        <v>48</v>
      </c>
      <c r="E36" s="1508"/>
      <c r="F36" s="1567" t="s">
        <v>18</v>
      </c>
      <c r="G36" s="261" t="s">
        <v>19</v>
      </c>
      <c r="H36" s="139">
        <f>317.5-0.6+49.8</f>
        <v>366.7</v>
      </c>
      <c r="I36" s="117">
        <f>317.5-0.6+49.8</f>
        <v>366.7</v>
      </c>
      <c r="J36" s="151"/>
      <c r="K36" s="139">
        <f>318+48.8</f>
        <v>366.8</v>
      </c>
      <c r="L36" s="117">
        <f>318+48.8</f>
        <v>366.8</v>
      </c>
      <c r="M36" s="151"/>
      <c r="N36" s="139">
        <f>318+48.8</f>
        <v>366.8</v>
      </c>
      <c r="O36" s="117">
        <f>318+48.8</f>
        <v>366.8</v>
      </c>
      <c r="P36" s="151"/>
      <c r="Q36" s="411" t="s">
        <v>49</v>
      </c>
      <c r="R36" s="397">
        <v>31</v>
      </c>
      <c r="S36" s="693">
        <v>31</v>
      </c>
      <c r="T36" s="696">
        <v>31</v>
      </c>
      <c r="U36" s="401"/>
      <c r="V36" s="498"/>
    </row>
    <row r="37" spans="1:22" s="1" customFormat="1" ht="11.25" customHeight="1">
      <c r="A37" s="1481"/>
      <c r="B37" s="1565"/>
      <c r="C37" s="1499"/>
      <c r="D37" s="1532"/>
      <c r="E37" s="1509"/>
      <c r="F37" s="1568"/>
      <c r="G37" s="22"/>
      <c r="H37" s="110"/>
      <c r="I37" s="154"/>
      <c r="J37" s="148"/>
      <c r="K37" s="110"/>
      <c r="L37" s="154"/>
      <c r="M37" s="148"/>
      <c r="N37" s="110"/>
      <c r="O37" s="154"/>
      <c r="P37" s="148"/>
      <c r="Q37" s="709"/>
      <c r="R37" s="398"/>
      <c r="S37" s="694"/>
      <c r="T37" s="697"/>
      <c r="U37" s="401"/>
      <c r="V37" s="498"/>
    </row>
    <row r="38" spans="1:22" s="1" customFormat="1" ht="14.25" customHeight="1" thickBot="1">
      <c r="A38" s="1495"/>
      <c r="B38" s="1570"/>
      <c r="C38" s="1504"/>
      <c r="D38" s="600"/>
      <c r="E38" s="1510"/>
      <c r="F38" s="1569"/>
      <c r="G38" s="624" t="s">
        <v>47</v>
      </c>
      <c r="H38" s="204">
        <f t="shared" ref="H38:P38" si="5">SUM(H36:H37)</f>
        <v>366.7</v>
      </c>
      <c r="I38" s="431">
        <f t="shared" si="5"/>
        <v>366.7</v>
      </c>
      <c r="J38" s="430">
        <f t="shared" si="5"/>
        <v>0</v>
      </c>
      <c r="K38" s="204">
        <f t="shared" si="5"/>
        <v>366.8</v>
      </c>
      <c r="L38" s="431">
        <f t="shared" si="5"/>
        <v>366.8</v>
      </c>
      <c r="M38" s="430">
        <f t="shared" si="5"/>
        <v>0</v>
      </c>
      <c r="N38" s="204">
        <f t="shared" si="5"/>
        <v>366.8</v>
      </c>
      <c r="O38" s="431">
        <f t="shared" si="5"/>
        <v>366.8</v>
      </c>
      <c r="P38" s="430">
        <f t="shared" si="5"/>
        <v>0</v>
      </c>
      <c r="Q38" s="718"/>
      <c r="R38" s="377"/>
      <c r="S38" s="701"/>
      <c r="T38" s="703"/>
      <c r="U38" s="713"/>
      <c r="V38" s="498"/>
    </row>
    <row r="39" spans="1:22" s="1" customFormat="1" ht="24.75" customHeight="1">
      <c r="A39" s="1494" t="s">
        <v>13</v>
      </c>
      <c r="B39" s="1444" t="s">
        <v>13</v>
      </c>
      <c r="C39" s="1503" t="s">
        <v>27</v>
      </c>
      <c r="D39" s="1550" t="s">
        <v>99</v>
      </c>
      <c r="E39" s="1508"/>
      <c r="F39" s="1567" t="s">
        <v>18</v>
      </c>
      <c r="G39" s="269" t="s">
        <v>19</v>
      </c>
      <c r="H39" s="139">
        <v>259.89999999999998</v>
      </c>
      <c r="I39" s="117">
        <f>215.1+44.8</f>
        <v>259.89999999999998</v>
      </c>
      <c r="J39" s="151"/>
      <c r="K39" s="202">
        <v>259.89999999999998</v>
      </c>
      <c r="L39" s="117">
        <f>215.1+44.8</f>
        <v>259.89999999999998</v>
      </c>
      <c r="M39" s="151"/>
      <c r="N39" s="202">
        <v>260.39999999999998</v>
      </c>
      <c r="O39" s="117">
        <f>215.6+44.8</f>
        <v>260.39999999999998</v>
      </c>
      <c r="P39" s="748"/>
      <c r="Q39" s="411" t="s">
        <v>100</v>
      </c>
      <c r="R39" s="397">
        <v>13</v>
      </c>
      <c r="S39" s="1558">
        <v>13</v>
      </c>
      <c r="T39" s="1561">
        <v>13</v>
      </c>
      <c r="U39" s="1360"/>
      <c r="V39" s="498"/>
    </row>
    <row r="40" spans="1:22" s="1" customFormat="1" ht="27.75" customHeight="1">
      <c r="A40" s="1481"/>
      <c r="B40" s="1445"/>
      <c r="C40" s="1499"/>
      <c r="D40" s="1557"/>
      <c r="E40" s="1509"/>
      <c r="F40" s="1568"/>
      <c r="G40" s="115" t="s">
        <v>110</v>
      </c>
      <c r="H40" s="110">
        <v>18</v>
      </c>
      <c r="I40" s="154">
        <v>18</v>
      </c>
      <c r="J40" s="148"/>
      <c r="K40" s="110"/>
      <c r="L40" s="154"/>
      <c r="M40" s="148"/>
      <c r="N40" s="110"/>
      <c r="O40" s="154"/>
      <c r="P40" s="148"/>
      <c r="Q40" s="786" t="s">
        <v>226</v>
      </c>
      <c r="R40" s="398">
        <v>1</v>
      </c>
      <c r="S40" s="1559"/>
      <c r="T40" s="1562"/>
      <c r="U40" s="1361"/>
      <c r="V40" s="498"/>
    </row>
    <row r="41" spans="1:22" s="1" customFormat="1" ht="18.75" customHeight="1" thickBot="1">
      <c r="A41" s="1495"/>
      <c r="B41" s="1446"/>
      <c r="C41" s="1504"/>
      <c r="D41" s="1551"/>
      <c r="E41" s="1510"/>
      <c r="F41" s="1569"/>
      <c r="G41" s="624" t="s">
        <v>47</v>
      </c>
      <c r="H41" s="204">
        <f t="shared" ref="H41:P41" si="6">SUM(H39:H40)</f>
        <v>277.89999999999998</v>
      </c>
      <c r="I41" s="431">
        <f>SUM(I39:I40)</f>
        <v>277.89999999999998</v>
      </c>
      <c r="J41" s="430">
        <f t="shared" si="6"/>
        <v>0</v>
      </c>
      <c r="K41" s="204">
        <f t="shared" si="6"/>
        <v>259.89999999999998</v>
      </c>
      <c r="L41" s="431">
        <f>SUM(L39:L40)</f>
        <v>259.89999999999998</v>
      </c>
      <c r="M41" s="430">
        <f t="shared" si="6"/>
        <v>0</v>
      </c>
      <c r="N41" s="204">
        <f t="shared" si="6"/>
        <v>260.39999999999998</v>
      </c>
      <c r="O41" s="431">
        <f t="shared" si="6"/>
        <v>260.39999999999998</v>
      </c>
      <c r="P41" s="430">
        <f t="shared" si="6"/>
        <v>0</v>
      </c>
      <c r="Q41" s="455"/>
      <c r="R41" s="399"/>
      <c r="S41" s="1560"/>
      <c r="T41" s="1563"/>
      <c r="U41" s="784"/>
      <c r="V41" s="498"/>
    </row>
    <row r="42" spans="1:22" s="1" customFormat="1" ht="19.5" customHeight="1">
      <c r="A42" s="1494" t="s">
        <v>13</v>
      </c>
      <c r="B42" s="1564" t="s">
        <v>13</v>
      </c>
      <c r="C42" s="1503" t="s">
        <v>29</v>
      </c>
      <c r="D42" s="1550" t="s">
        <v>50</v>
      </c>
      <c r="E42" s="1508"/>
      <c r="F42" s="1567" t="s">
        <v>18</v>
      </c>
      <c r="G42" s="33" t="s">
        <v>19</v>
      </c>
      <c r="H42" s="145">
        <v>15.7</v>
      </c>
      <c r="I42" s="155">
        <v>15.7</v>
      </c>
      <c r="J42" s="149"/>
      <c r="K42" s="145">
        <v>15.7</v>
      </c>
      <c r="L42" s="155">
        <v>15.7</v>
      </c>
      <c r="M42" s="149"/>
      <c r="N42" s="145">
        <v>15.7</v>
      </c>
      <c r="O42" s="155">
        <v>15.7</v>
      </c>
      <c r="P42" s="149"/>
      <c r="Q42" s="411"/>
      <c r="R42" s="376"/>
      <c r="S42" s="700"/>
      <c r="T42" s="702"/>
      <c r="U42" s="713"/>
      <c r="V42" s="498"/>
    </row>
    <row r="43" spans="1:22" s="1" customFormat="1" ht="15.75" customHeight="1" thickBot="1">
      <c r="A43" s="1481"/>
      <c r="B43" s="1565"/>
      <c r="C43" s="1499"/>
      <c r="D43" s="1566"/>
      <c r="E43" s="1509"/>
      <c r="F43" s="1568"/>
      <c r="G43" s="780" t="s">
        <v>47</v>
      </c>
      <c r="H43" s="781">
        <f t="shared" ref="H43" si="7">SUM(H42:H42)</f>
        <v>15.7</v>
      </c>
      <c r="I43" s="782">
        <f t="shared" ref="I43:P43" si="8">SUM(I42:I42)</f>
        <v>15.7</v>
      </c>
      <c r="J43" s="783">
        <f t="shared" ref="J43:L43" si="9">SUM(J42:J42)</f>
        <v>0</v>
      </c>
      <c r="K43" s="781">
        <f t="shared" si="9"/>
        <v>15.7</v>
      </c>
      <c r="L43" s="782">
        <f t="shared" si="9"/>
        <v>15.7</v>
      </c>
      <c r="M43" s="783">
        <f t="shared" si="8"/>
        <v>0</v>
      </c>
      <c r="N43" s="781">
        <f t="shared" ref="N43:O43" si="10">SUM(N42:N42)</f>
        <v>15.7</v>
      </c>
      <c r="O43" s="782">
        <f t="shared" si="10"/>
        <v>15.7</v>
      </c>
      <c r="P43" s="783">
        <f t="shared" si="8"/>
        <v>0</v>
      </c>
      <c r="Q43" s="774"/>
      <c r="R43" s="398"/>
      <c r="S43" s="769"/>
      <c r="T43" s="772"/>
      <c r="U43" s="401"/>
      <c r="V43" s="498"/>
    </row>
    <row r="44" spans="1:22" s="1" customFormat="1" ht="15.75" customHeight="1">
      <c r="A44" s="764" t="s">
        <v>13</v>
      </c>
      <c r="B44" s="289" t="s">
        <v>13</v>
      </c>
      <c r="C44" s="382" t="s">
        <v>32</v>
      </c>
      <c r="D44" s="1525" t="s">
        <v>51</v>
      </c>
      <c r="E44" s="408"/>
      <c r="F44" s="249">
        <v>1</v>
      </c>
      <c r="G44" s="552" t="s">
        <v>19</v>
      </c>
      <c r="H44" s="640">
        <v>52.8</v>
      </c>
      <c r="I44" s="648">
        <v>52.8</v>
      </c>
      <c r="J44" s="642"/>
      <c r="K44" s="640">
        <v>52.8</v>
      </c>
      <c r="L44" s="648">
        <v>52.8</v>
      </c>
      <c r="M44" s="642"/>
      <c r="N44" s="640">
        <v>52.8</v>
      </c>
      <c r="O44" s="648">
        <v>52.8</v>
      </c>
      <c r="P44" s="642"/>
      <c r="Q44" s="411"/>
      <c r="R44" s="397"/>
      <c r="S44" s="768"/>
      <c r="T44" s="771"/>
      <c r="U44" s="400"/>
      <c r="V44" s="498"/>
    </row>
    <row r="45" spans="1:22" s="1" customFormat="1" ht="14.25" customHeight="1">
      <c r="A45" s="762"/>
      <c r="B45" s="27"/>
      <c r="C45" s="239"/>
      <c r="D45" s="1526"/>
      <c r="E45" s="410"/>
      <c r="F45" s="763">
        <v>5</v>
      </c>
      <c r="G45" s="66" t="s">
        <v>19</v>
      </c>
      <c r="H45" s="118">
        <f>119.9+5.9</f>
        <v>125.80000000000001</v>
      </c>
      <c r="I45" s="118">
        <f>119.9+5.9</f>
        <v>125.80000000000001</v>
      </c>
      <c r="J45" s="258"/>
      <c r="K45" s="83">
        <v>140.5</v>
      </c>
      <c r="L45" s="118">
        <v>140.5</v>
      </c>
      <c r="M45" s="147"/>
      <c r="N45" s="83">
        <v>140.5</v>
      </c>
      <c r="O45" s="118">
        <v>140.5</v>
      </c>
      <c r="P45" s="147"/>
      <c r="Q45" s="767"/>
      <c r="R45" s="398"/>
      <c r="S45" s="769"/>
      <c r="T45" s="772"/>
      <c r="U45" s="867"/>
      <c r="V45" s="498"/>
    </row>
    <row r="46" spans="1:22" s="1" customFormat="1" ht="12.75" customHeight="1">
      <c r="A46" s="762"/>
      <c r="B46" s="27"/>
      <c r="C46" s="239"/>
      <c r="D46" s="1527"/>
      <c r="E46" s="410"/>
      <c r="F46" s="763"/>
      <c r="G46" s="66" t="s">
        <v>110</v>
      </c>
      <c r="H46" s="118">
        <f>22.6+2.2</f>
        <v>24.8</v>
      </c>
      <c r="I46" s="118">
        <f>22.6+2.2</f>
        <v>24.8</v>
      </c>
      <c r="J46" s="258"/>
      <c r="K46" s="83"/>
      <c r="L46" s="118"/>
      <c r="M46" s="137"/>
      <c r="N46" s="83"/>
      <c r="O46" s="118"/>
      <c r="P46" s="147"/>
      <c r="Q46" s="767"/>
      <c r="R46" s="398"/>
      <c r="S46" s="769"/>
      <c r="T46" s="772"/>
      <c r="U46" s="867"/>
      <c r="V46" s="498"/>
    </row>
    <row r="47" spans="1:22" s="1" customFormat="1" ht="15.75" customHeight="1">
      <c r="A47" s="762"/>
      <c r="B47" s="27"/>
      <c r="C47" s="239"/>
      <c r="D47" s="1513" t="s">
        <v>104</v>
      </c>
      <c r="E47" s="72"/>
      <c r="F47" s="763"/>
      <c r="G47" s="70" t="s">
        <v>19</v>
      </c>
      <c r="H47" s="109"/>
      <c r="I47" s="908">
        <v>2.4</v>
      </c>
      <c r="J47" s="909">
        <f>I47-H47</f>
        <v>2.4</v>
      </c>
      <c r="K47" s="109"/>
      <c r="L47" s="153"/>
      <c r="M47" s="146"/>
      <c r="N47" s="109"/>
      <c r="O47" s="153"/>
      <c r="P47" s="146"/>
      <c r="Q47" s="1523" t="s">
        <v>93</v>
      </c>
      <c r="R47" s="176">
        <v>3</v>
      </c>
      <c r="S47" s="228">
        <v>3</v>
      </c>
      <c r="T47" s="192">
        <v>3</v>
      </c>
      <c r="U47" s="1544" t="s">
        <v>239</v>
      </c>
      <c r="V47" s="498"/>
    </row>
    <row r="48" spans="1:22" s="1" customFormat="1" ht="14.25" customHeight="1">
      <c r="A48" s="762"/>
      <c r="B48" s="27"/>
      <c r="C48" s="239"/>
      <c r="D48" s="1528"/>
      <c r="E48" s="232"/>
      <c r="F48" s="763"/>
      <c r="G48" s="66"/>
      <c r="H48" s="256"/>
      <c r="I48" s="257"/>
      <c r="J48" s="258"/>
      <c r="K48" s="256"/>
      <c r="L48" s="257"/>
      <c r="M48" s="393"/>
      <c r="N48" s="256"/>
      <c r="O48" s="257"/>
      <c r="P48" s="258"/>
      <c r="Q48" s="1529"/>
      <c r="R48" s="398"/>
      <c r="S48" s="769"/>
      <c r="T48" s="772"/>
      <c r="U48" s="1536"/>
      <c r="V48" s="498"/>
    </row>
    <row r="49" spans="1:22" s="1" customFormat="1" ht="15.75" customHeight="1">
      <c r="A49" s="762"/>
      <c r="B49" s="27"/>
      <c r="C49" s="239"/>
      <c r="D49" s="1528"/>
      <c r="E49" s="232"/>
      <c r="F49" s="763"/>
      <c r="G49" s="553"/>
      <c r="H49" s="83"/>
      <c r="I49" s="118"/>
      <c r="J49" s="147"/>
      <c r="K49" s="83"/>
      <c r="L49" s="118"/>
      <c r="M49" s="137"/>
      <c r="N49" s="83"/>
      <c r="O49" s="118"/>
      <c r="P49" s="147"/>
      <c r="Q49" s="1439" t="s">
        <v>114</v>
      </c>
      <c r="R49" s="520">
        <v>1</v>
      </c>
      <c r="S49" s="521">
        <v>1</v>
      </c>
      <c r="T49" s="522">
        <v>1</v>
      </c>
      <c r="U49" s="1536"/>
      <c r="V49" s="498"/>
    </row>
    <row r="50" spans="1:22" s="1" customFormat="1" ht="99" customHeight="1">
      <c r="A50" s="762"/>
      <c r="B50" s="27"/>
      <c r="C50" s="239"/>
      <c r="D50" s="766"/>
      <c r="E50" s="232"/>
      <c r="F50" s="763"/>
      <c r="G50" s="907"/>
      <c r="H50" s="110"/>
      <c r="I50" s="154"/>
      <c r="J50" s="148"/>
      <c r="K50" s="110"/>
      <c r="L50" s="154"/>
      <c r="M50" s="802"/>
      <c r="N50" s="110"/>
      <c r="O50" s="154"/>
      <c r="P50" s="148"/>
      <c r="Q50" s="1529"/>
      <c r="R50" s="523"/>
      <c r="S50" s="524"/>
      <c r="T50" s="525"/>
      <c r="U50" s="1537"/>
      <c r="V50" s="498"/>
    </row>
    <row r="51" spans="1:22" s="1" customFormat="1" ht="30" customHeight="1">
      <c r="A51" s="762"/>
      <c r="B51" s="27"/>
      <c r="C51" s="239"/>
      <c r="D51" s="1513" t="s">
        <v>216</v>
      </c>
      <c r="E51" s="548"/>
      <c r="F51" s="776"/>
      <c r="G51" s="554"/>
      <c r="H51" s="83"/>
      <c r="I51" s="118"/>
      <c r="J51" s="147"/>
      <c r="K51" s="83"/>
      <c r="L51" s="118"/>
      <c r="M51" s="137"/>
      <c r="N51" s="83"/>
      <c r="O51" s="118"/>
      <c r="P51" s="147"/>
      <c r="Q51" s="348" t="s">
        <v>53</v>
      </c>
      <c r="R51" s="174">
        <v>10</v>
      </c>
      <c r="S51" s="285">
        <v>10</v>
      </c>
      <c r="T51" s="190">
        <v>10</v>
      </c>
      <c r="U51" s="867"/>
      <c r="V51" s="498"/>
    </row>
    <row r="52" spans="1:22" s="1" customFormat="1" ht="60" customHeight="1">
      <c r="A52" s="762"/>
      <c r="B52" s="27"/>
      <c r="C52" s="77"/>
      <c r="D52" s="1530"/>
      <c r="E52" s="63"/>
      <c r="F52" s="763"/>
      <c r="G52" s="555"/>
      <c r="H52" s="140"/>
      <c r="I52" s="156"/>
      <c r="J52" s="150"/>
      <c r="K52" s="140"/>
      <c r="L52" s="156"/>
      <c r="M52" s="295"/>
      <c r="N52" s="140"/>
      <c r="O52" s="156"/>
      <c r="P52" s="150"/>
      <c r="Q52" s="135" t="s">
        <v>171</v>
      </c>
      <c r="R52" s="175">
        <v>17</v>
      </c>
      <c r="S52" s="284">
        <v>22</v>
      </c>
      <c r="T52" s="276">
        <v>22</v>
      </c>
      <c r="U52" s="867"/>
      <c r="V52" s="498"/>
    </row>
    <row r="53" spans="1:22" s="1" customFormat="1" ht="76.5" customHeight="1">
      <c r="A53" s="762"/>
      <c r="B53" s="27"/>
      <c r="C53" s="77"/>
      <c r="D53" s="1530"/>
      <c r="E53" s="63"/>
      <c r="F53" s="763"/>
      <c r="G53" s="555"/>
      <c r="H53" s="140"/>
      <c r="I53" s="156"/>
      <c r="J53" s="150"/>
      <c r="K53" s="140"/>
      <c r="L53" s="156"/>
      <c r="M53" s="295"/>
      <c r="N53" s="140"/>
      <c r="O53" s="156"/>
      <c r="P53" s="150"/>
      <c r="Q53" s="779" t="s">
        <v>186</v>
      </c>
      <c r="R53" s="361">
        <v>315</v>
      </c>
      <c r="S53" s="293">
        <v>315</v>
      </c>
      <c r="T53" s="193">
        <v>315</v>
      </c>
      <c r="U53" s="778"/>
      <c r="V53" s="498"/>
    </row>
    <row r="54" spans="1:22" s="1" customFormat="1" ht="27.75" customHeight="1">
      <c r="A54" s="762"/>
      <c r="B54" s="27"/>
      <c r="C54" s="77"/>
      <c r="D54" s="777" t="s">
        <v>198</v>
      </c>
      <c r="E54" s="63"/>
      <c r="F54" s="763"/>
      <c r="G54" s="555"/>
      <c r="H54" s="140"/>
      <c r="I54" s="156"/>
      <c r="J54" s="150"/>
      <c r="K54" s="140"/>
      <c r="L54" s="156"/>
      <c r="M54" s="295"/>
      <c r="N54" s="140"/>
      <c r="O54" s="156"/>
      <c r="P54" s="150"/>
      <c r="Q54" s="515" t="s">
        <v>187</v>
      </c>
      <c r="R54" s="405">
        <v>35</v>
      </c>
      <c r="S54" s="406">
        <v>35</v>
      </c>
      <c r="T54" s="407">
        <v>35</v>
      </c>
      <c r="U54" s="714"/>
      <c r="V54" s="498"/>
    </row>
    <row r="55" spans="1:22" s="1" customFormat="1" ht="27.75" customHeight="1">
      <c r="A55" s="762"/>
      <c r="B55" s="27"/>
      <c r="C55" s="77"/>
      <c r="D55" s="574"/>
      <c r="E55" s="551"/>
      <c r="F55" s="763"/>
      <c r="G55" s="555"/>
      <c r="H55" s="140"/>
      <c r="I55" s="156"/>
      <c r="J55" s="150"/>
      <c r="K55" s="140"/>
      <c r="L55" s="156"/>
      <c r="M55" s="295"/>
      <c r="N55" s="140"/>
      <c r="O55" s="156"/>
      <c r="P55" s="150"/>
      <c r="Q55" s="575" t="s">
        <v>207</v>
      </c>
      <c r="R55" s="576"/>
      <c r="S55" s="577">
        <v>1</v>
      </c>
      <c r="T55" s="578">
        <v>1</v>
      </c>
      <c r="U55" s="714"/>
      <c r="V55" s="498"/>
    </row>
    <row r="56" spans="1:22" s="1" customFormat="1" ht="24.75" customHeight="1">
      <c r="A56" s="762"/>
      <c r="B56" s="27"/>
      <c r="C56" s="77"/>
      <c r="D56" s="1531" t="s">
        <v>173</v>
      </c>
      <c r="E56" s="551"/>
      <c r="F56" s="763"/>
      <c r="G56" s="555"/>
      <c r="H56" s="140"/>
      <c r="I56" s="156"/>
      <c r="J56" s="150"/>
      <c r="K56" s="140"/>
      <c r="L56" s="156"/>
      <c r="M56" s="295"/>
      <c r="N56" s="140"/>
      <c r="O56" s="156"/>
      <c r="P56" s="150"/>
      <c r="Q56" s="557" t="s">
        <v>225</v>
      </c>
      <c r="R56" s="558">
        <v>1</v>
      </c>
      <c r="S56" s="547">
        <v>1</v>
      </c>
      <c r="T56" s="436">
        <v>1</v>
      </c>
      <c r="U56" s="714"/>
      <c r="V56" s="498"/>
    </row>
    <row r="57" spans="1:22" s="1" customFormat="1" ht="24.75" customHeight="1">
      <c r="A57" s="762"/>
      <c r="B57" s="27"/>
      <c r="C57" s="77"/>
      <c r="D57" s="1532"/>
      <c r="E57" s="551"/>
      <c r="F57" s="763"/>
      <c r="G57" s="555"/>
      <c r="H57" s="140"/>
      <c r="I57" s="156"/>
      <c r="J57" s="150"/>
      <c r="K57" s="295"/>
      <c r="L57" s="156"/>
      <c r="M57" s="150"/>
      <c r="N57" s="295"/>
      <c r="O57" s="156"/>
      <c r="P57" s="150"/>
      <c r="Q57" s="529" t="s">
        <v>172</v>
      </c>
      <c r="R57" s="581">
        <v>1</v>
      </c>
      <c r="S57" s="758"/>
      <c r="T57" s="550"/>
      <c r="U57" s="785"/>
      <c r="V57" s="498"/>
    </row>
    <row r="58" spans="1:22" s="1" customFormat="1" ht="23.25" customHeight="1">
      <c r="A58" s="762"/>
      <c r="B58" s="27"/>
      <c r="C58" s="77"/>
      <c r="D58" s="1555" t="s">
        <v>227</v>
      </c>
      <c r="E58" s="63"/>
      <c r="F58" s="763"/>
      <c r="G58" s="555"/>
      <c r="H58" s="140"/>
      <c r="I58" s="156"/>
      <c r="J58" s="150"/>
      <c r="K58" s="140"/>
      <c r="L58" s="156"/>
      <c r="M58" s="295"/>
      <c r="N58" s="140"/>
      <c r="O58" s="156"/>
      <c r="P58" s="150"/>
      <c r="Q58" s="515" t="s">
        <v>213</v>
      </c>
      <c r="R58" s="405">
        <v>1</v>
      </c>
      <c r="S58" s="406"/>
      <c r="T58" s="407"/>
      <c r="U58" s="1533"/>
      <c r="V58" s="498"/>
    </row>
    <row r="59" spans="1:22" s="1" customFormat="1" ht="29.25" customHeight="1">
      <c r="A59" s="762"/>
      <c r="B59" s="27"/>
      <c r="C59" s="77"/>
      <c r="D59" s="1556"/>
      <c r="E59" s="551"/>
      <c r="F59" s="763"/>
      <c r="G59" s="556"/>
      <c r="H59" s="582"/>
      <c r="I59" s="649"/>
      <c r="J59" s="494"/>
      <c r="K59" s="582"/>
      <c r="L59" s="649"/>
      <c r="M59" s="651"/>
      <c r="N59" s="582"/>
      <c r="O59" s="649"/>
      <c r="P59" s="494"/>
      <c r="Q59" s="575"/>
      <c r="R59" s="576"/>
      <c r="S59" s="577"/>
      <c r="T59" s="578"/>
      <c r="U59" s="1534"/>
      <c r="V59" s="498"/>
    </row>
    <row r="60" spans="1:22" s="1" customFormat="1" ht="16.5" customHeight="1" thickBot="1">
      <c r="A60" s="765"/>
      <c r="B60" s="292"/>
      <c r="C60" s="71"/>
      <c r="D60" s="378"/>
      <c r="E60" s="549"/>
      <c r="F60" s="251"/>
      <c r="G60" s="238" t="s">
        <v>47</v>
      </c>
      <c r="H60" s="204">
        <f>SUM(H44:H57)</f>
        <v>203.40000000000003</v>
      </c>
      <c r="I60" s="431">
        <f>SUM(I44:I57)</f>
        <v>205.80000000000004</v>
      </c>
      <c r="J60" s="430">
        <f>SUM(J44:J57)</f>
        <v>2.4</v>
      </c>
      <c r="K60" s="204">
        <f t="shared" ref="K60:L60" si="11">SUM(K44:K57)</f>
        <v>193.3</v>
      </c>
      <c r="L60" s="431">
        <f t="shared" si="11"/>
        <v>193.3</v>
      </c>
      <c r="M60" s="430">
        <f t="shared" ref="M60:P60" si="12">SUM(M44:M57)</f>
        <v>0</v>
      </c>
      <c r="N60" s="204">
        <f t="shared" ref="N60:O60" si="13">SUM(N44:N57)</f>
        <v>193.3</v>
      </c>
      <c r="O60" s="431">
        <f t="shared" si="13"/>
        <v>193.3</v>
      </c>
      <c r="P60" s="430">
        <f t="shared" si="12"/>
        <v>0</v>
      </c>
      <c r="Q60" s="775"/>
      <c r="R60" s="399"/>
      <c r="S60" s="770"/>
      <c r="T60" s="773"/>
      <c r="U60" s="401"/>
      <c r="V60" s="498"/>
    </row>
    <row r="61" spans="1:22" s="4" customFormat="1" ht="15" customHeight="1">
      <c r="A61" s="1481" t="s">
        <v>13</v>
      </c>
      <c r="B61" s="1482" t="s">
        <v>13</v>
      </c>
      <c r="C61" s="1499" t="s">
        <v>35</v>
      </c>
      <c r="D61" s="1557" t="s">
        <v>54</v>
      </c>
      <c r="E61" s="1552"/>
      <c r="F61" s="1540" t="s">
        <v>18</v>
      </c>
      <c r="G61" s="559" t="s">
        <v>19</v>
      </c>
      <c r="H61" s="137">
        <v>91</v>
      </c>
      <c r="I61" s="906">
        <f>91-54</f>
        <v>37</v>
      </c>
      <c r="J61" s="258">
        <f>I61-H61</f>
        <v>-54</v>
      </c>
      <c r="K61" s="83">
        <v>3985.6</v>
      </c>
      <c r="L61" s="118">
        <v>3985.6</v>
      </c>
      <c r="M61" s="147"/>
      <c r="N61" s="83">
        <v>1070</v>
      </c>
      <c r="O61" s="118">
        <v>1070</v>
      </c>
      <c r="P61" s="147"/>
      <c r="Q61" s="1542" t="s">
        <v>149</v>
      </c>
      <c r="R61" s="398">
        <v>2</v>
      </c>
      <c r="S61" s="694">
        <v>4</v>
      </c>
      <c r="T61" s="697">
        <v>4</v>
      </c>
      <c r="U61" s="1535" t="s">
        <v>237</v>
      </c>
      <c r="V61" s="500"/>
    </row>
    <row r="62" spans="1:22" s="4" customFormat="1" ht="12.75" customHeight="1">
      <c r="A62" s="1481"/>
      <c r="B62" s="1482"/>
      <c r="C62" s="1499"/>
      <c r="D62" s="1557"/>
      <c r="E62" s="1552"/>
      <c r="F62" s="1540"/>
      <c r="G62" s="66" t="s">
        <v>19</v>
      </c>
      <c r="H62" s="137">
        <v>2904.2</v>
      </c>
      <c r="I62" s="118">
        <v>2904.2</v>
      </c>
      <c r="J62" s="258"/>
      <c r="K62" s="83"/>
      <c r="L62" s="118"/>
      <c r="M62" s="147"/>
      <c r="N62" s="83"/>
      <c r="O62" s="118"/>
      <c r="P62" s="147"/>
      <c r="Q62" s="1542"/>
      <c r="R62" s="398"/>
      <c r="S62" s="694"/>
      <c r="T62" s="697"/>
      <c r="U62" s="1536"/>
      <c r="V62" s="500"/>
    </row>
    <row r="63" spans="1:22" s="4" customFormat="1" ht="6" customHeight="1">
      <c r="A63" s="1481"/>
      <c r="B63" s="1482"/>
      <c r="C63" s="1499"/>
      <c r="D63" s="1557"/>
      <c r="E63" s="1552"/>
      <c r="F63" s="1540"/>
      <c r="G63" s="66"/>
      <c r="H63" s="391"/>
      <c r="I63" s="678"/>
      <c r="J63" s="258"/>
      <c r="K63" s="141"/>
      <c r="L63" s="157"/>
      <c r="M63" s="152"/>
      <c r="N63" s="141"/>
      <c r="O63" s="157"/>
      <c r="P63" s="152"/>
      <c r="Q63" s="1542"/>
      <c r="R63" s="398"/>
      <c r="S63" s="694"/>
      <c r="T63" s="697"/>
      <c r="U63" s="1536"/>
      <c r="V63" s="500"/>
    </row>
    <row r="64" spans="1:22" s="4" customFormat="1" ht="17.25" customHeight="1" thickBot="1">
      <c r="A64" s="1495"/>
      <c r="B64" s="1497"/>
      <c r="C64" s="1504"/>
      <c r="D64" s="1551"/>
      <c r="E64" s="1553"/>
      <c r="F64" s="1541"/>
      <c r="G64" s="240" t="s">
        <v>47</v>
      </c>
      <c r="H64" s="311">
        <f>SUM(H61:H63)</f>
        <v>2995.2</v>
      </c>
      <c r="I64" s="201">
        <f>SUM(I61:I63)</f>
        <v>2941.2</v>
      </c>
      <c r="J64" s="311">
        <f>SUM(J61:J63)</f>
        <v>-54</v>
      </c>
      <c r="K64" s="85">
        <f t="shared" ref="K64:L64" si="14">K61+K63</f>
        <v>3985.6</v>
      </c>
      <c r="L64" s="201">
        <f t="shared" si="14"/>
        <v>3985.6</v>
      </c>
      <c r="M64" s="200">
        <f t="shared" ref="M64:P64" si="15">M61+M63</f>
        <v>0</v>
      </c>
      <c r="N64" s="85">
        <f t="shared" ref="N64:O64" si="16">N61+N63</f>
        <v>1070</v>
      </c>
      <c r="O64" s="201">
        <f t="shared" si="16"/>
        <v>1070</v>
      </c>
      <c r="P64" s="200">
        <f t="shared" si="15"/>
        <v>0</v>
      </c>
      <c r="Q64" s="1543"/>
      <c r="R64" s="399"/>
      <c r="S64" s="695"/>
      <c r="T64" s="698"/>
      <c r="U64" s="1537"/>
      <c r="V64" s="500"/>
    </row>
    <row r="65" spans="1:22" s="4" customFormat="1" ht="15" customHeight="1">
      <c r="A65" s="1494" t="s">
        <v>13</v>
      </c>
      <c r="B65" s="1496" t="s">
        <v>13</v>
      </c>
      <c r="C65" s="1483" t="s">
        <v>36</v>
      </c>
      <c r="D65" s="1550" t="s">
        <v>55</v>
      </c>
      <c r="E65" s="1552"/>
      <c r="F65" s="1554" t="s">
        <v>18</v>
      </c>
      <c r="G65" s="92" t="s">
        <v>19</v>
      </c>
      <c r="H65" s="141">
        <v>29</v>
      </c>
      <c r="I65" s="157">
        <v>29</v>
      </c>
      <c r="J65" s="152"/>
      <c r="K65" s="141">
        <v>29</v>
      </c>
      <c r="L65" s="157">
        <v>29</v>
      </c>
      <c r="M65" s="152"/>
      <c r="N65" s="141">
        <v>29</v>
      </c>
      <c r="O65" s="157">
        <v>29</v>
      </c>
      <c r="P65" s="152"/>
      <c r="Q65" s="29"/>
      <c r="R65" s="397"/>
      <c r="S65" s="693"/>
      <c r="T65" s="696"/>
      <c r="U65" s="401"/>
      <c r="V65" s="500"/>
    </row>
    <row r="66" spans="1:22" s="4" customFormat="1" ht="15" customHeight="1" thickBot="1">
      <c r="A66" s="1495"/>
      <c r="B66" s="1497"/>
      <c r="C66" s="1549"/>
      <c r="D66" s="1551"/>
      <c r="E66" s="1553"/>
      <c r="F66" s="1541"/>
      <c r="G66" s="88" t="s">
        <v>47</v>
      </c>
      <c r="H66" s="85">
        <f t="shared" ref="H66" si="17">H65</f>
        <v>29</v>
      </c>
      <c r="I66" s="201">
        <f t="shared" ref="I66:P66" si="18">I65</f>
        <v>29</v>
      </c>
      <c r="J66" s="200">
        <f t="shared" ref="J66:L66" si="19">J65</f>
        <v>0</v>
      </c>
      <c r="K66" s="85">
        <f t="shared" si="19"/>
        <v>29</v>
      </c>
      <c r="L66" s="201">
        <f t="shared" si="19"/>
        <v>29</v>
      </c>
      <c r="M66" s="200">
        <f t="shared" si="18"/>
        <v>0</v>
      </c>
      <c r="N66" s="85">
        <f t="shared" ref="N66:O66" si="20">N65</f>
        <v>29</v>
      </c>
      <c r="O66" s="201">
        <f t="shared" si="20"/>
        <v>29</v>
      </c>
      <c r="P66" s="200">
        <f t="shared" si="18"/>
        <v>0</v>
      </c>
      <c r="Q66" s="719"/>
      <c r="R66" s="399"/>
      <c r="S66" s="695"/>
      <c r="T66" s="698"/>
      <c r="U66" s="401"/>
      <c r="V66" s="500"/>
    </row>
    <row r="67" spans="1:22" s="1" customFormat="1" ht="13.5" customHeight="1">
      <c r="A67" s="30" t="s">
        <v>13</v>
      </c>
      <c r="B67" s="31" t="s">
        <v>13</v>
      </c>
      <c r="C67" s="243" t="s">
        <v>39</v>
      </c>
      <c r="D67" s="1467" t="s">
        <v>56</v>
      </c>
      <c r="E67" s="32"/>
      <c r="F67" s="129">
        <v>1</v>
      </c>
      <c r="G67" s="70" t="s">
        <v>19</v>
      </c>
      <c r="H67" s="139">
        <v>46.3</v>
      </c>
      <c r="I67" s="117">
        <v>46.3</v>
      </c>
      <c r="J67" s="202"/>
      <c r="K67" s="139">
        <v>379.1</v>
      </c>
      <c r="L67" s="117">
        <v>379.1</v>
      </c>
      <c r="M67" s="202"/>
      <c r="N67" s="139">
        <v>379.1</v>
      </c>
      <c r="O67" s="117">
        <v>379.1</v>
      </c>
      <c r="P67" s="202"/>
      <c r="Q67" s="411"/>
      <c r="R67" s="706"/>
      <c r="S67" s="397"/>
      <c r="T67" s="696"/>
      <c r="U67" s="401"/>
      <c r="V67" s="498"/>
    </row>
    <row r="68" spans="1:22" s="1" customFormat="1" ht="13.5" customHeight="1">
      <c r="A68" s="13"/>
      <c r="B68" s="14"/>
      <c r="C68" s="236"/>
      <c r="D68" s="1438"/>
      <c r="E68" s="34"/>
      <c r="F68" s="37"/>
      <c r="G68" s="66" t="s">
        <v>199</v>
      </c>
      <c r="H68" s="83">
        <v>20</v>
      </c>
      <c r="I68" s="118">
        <v>20</v>
      </c>
      <c r="J68" s="137"/>
      <c r="K68" s="83"/>
      <c r="L68" s="118"/>
      <c r="M68" s="137"/>
      <c r="N68" s="83"/>
      <c r="O68" s="118"/>
      <c r="P68" s="137"/>
      <c r="Q68" s="709"/>
      <c r="R68" s="707"/>
      <c r="S68" s="398"/>
      <c r="T68" s="697"/>
      <c r="U68" s="401"/>
      <c r="V68" s="498"/>
    </row>
    <row r="69" spans="1:22" s="1" customFormat="1" ht="15" customHeight="1">
      <c r="A69" s="13"/>
      <c r="B69" s="14"/>
      <c r="C69" s="236"/>
      <c r="D69" s="1438"/>
      <c r="E69" s="34"/>
      <c r="F69" s="37"/>
      <c r="G69" s="49" t="s">
        <v>23</v>
      </c>
      <c r="H69" s="83">
        <v>146.69999999999999</v>
      </c>
      <c r="I69" s="118">
        <v>146.69999999999999</v>
      </c>
      <c r="J69" s="137"/>
      <c r="K69" s="83">
        <v>34.5</v>
      </c>
      <c r="L69" s="118">
        <v>34.5</v>
      </c>
      <c r="M69" s="137"/>
      <c r="N69" s="83">
        <v>34.5</v>
      </c>
      <c r="O69" s="118">
        <v>34.5</v>
      </c>
      <c r="P69" s="137"/>
      <c r="Q69" s="709"/>
      <c r="R69" s="707"/>
      <c r="S69" s="398"/>
      <c r="T69" s="697"/>
      <c r="U69" s="401"/>
      <c r="V69" s="498"/>
    </row>
    <row r="70" spans="1:22" s="1" customFormat="1" ht="15" customHeight="1">
      <c r="A70" s="13"/>
      <c r="B70" s="14"/>
      <c r="C70" s="236"/>
      <c r="D70" s="1438"/>
      <c r="E70" s="34"/>
      <c r="F70" s="37"/>
      <c r="G70" s="49" t="s">
        <v>24</v>
      </c>
      <c r="H70" s="83">
        <v>158.5</v>
      </c>
      <c r="I70" s="118">
        <v>158.5</v>
      </c>
      <c r="J70" s="137"/>
      <c r="K70" s="83"/>
      <c r="L70" s="118"/>
      <c r="M70" s="137"/>
      <c r="N70" s="83"/>
      <c r="O70" s="118"/>
      <c r="P70" s="137"/>
      <c r="Q70" s="709"/>
      <c r="R70" s="707"/>
      <c r="S70" s="398"/>
      <c r="T70" s="697"/>
      <c r="U70" s="401"/>
      <c r="V70" s="498"/>
    </row>
    <row r="71" spans="1:22" s="1" customFormat="1" ht="15" customHeight="1">
      <c r="A71" s="13"/>
      <c r="B71" s="14"/>
      <c r="C71" s="236"/>
      <c r="D71" s="636"/>
      <c r="E71" s="34"/>
      <c r="F71" s="37"/>
      <c r="G71" s="46" t="s">
        <v>110</v>
      </c>
      <c r="H71" s="83">
        <v>74.2</v>
      </c>
      <c r="I71" s="118">
        <v>74.2</v>
      </c>
      <c r="J71" s="137"/>
      <c r="K71" s="83"/>
      <c r="L71" s="118"/>
      <c r="M71" s="137"/>
      <c r="N71" s="83"/>
      <c r="O71" s="118"/>
      <c r="P71" s="137"/>
      <c r="Q71" s="709"/>
      <c r="R71" s="707"/>
      <c r="S71" s="398"/>
      <c r="T71" s="697"/>
      <c r="U71" s="401"/>
      <c r="V71" s="498"/>
    </row>
    <row r="72" spans="1:22" s="1" customFormat="1" ht="18" customHeight="1">
      <c r="A72" s="13"/>
      <c r="B72" s="14"/>
      <c r="C72" s="236"/>
      <c r="D72" s="1513" t="s">
        <v>57</v>
      </c>
      <c r="E72" s="34"/>
      <c r="F72" s="37"/>
      <c r="G72" s="70"/>
      <c r="H72" s="109"/>
      <c r="I72" s="153"/>
      <c r="J72" s="138"/>
      <c r="K72" s="109"/>
      <c r="L72" s="153"/>
      <c r="M72" s="138"/>
      <c r="N72" s="109"/>
      <c r="O72" s="153"/>
      <c r="P72" s="138"/>
      <c r="Q72" s="1515" t="s">
        <v>101</v>
      </c>
      <c r="R72" s="164">
        <v>67</v>
      </c>
      <c r="S72" s="176">
        <v>50</v>
      </c>
      <c r="T72" s="192">
        <v>50</v>
      </c>
      <c r="U72" s="401"/>
      <c r="V72" s="498"/>
    </row>
    <row r="73" spans="1:22" s="1" customFormat="1" ht="18.75" customHeight="1">
      <c r="A73" s="13"/>
      <c r="B73" s="14"/>
      <c r="C73" s="236"/>
      <c r="D73" s="1514"/>
      <c r="E73" s="34"/>
      <c r="F73" s="37"/>
      <c r="G73" s="66"/>
      <c r="H73" s="83"/>
      <c r="I73" s="118"/>
      <c r="J73" s="137"/>
      <c r="K73" s="83"/>
      <c r="L73" s="118"/>
      <c r="M73" s="137"/>
      <c r="N73" s="83"/>
      <c r="O73" s="118"/>
      <c r="P73" s="147"/>
      <c r="Q73" s="1516"/>
      <c r="R73" s="162"/>
      <c r="S73" s="162"/>
      <c r="T73" s="193"/>
      <c r="U73" s="401"/>
      <c r="V73" s="498"/>
    </row>
    <row r="74" spans="1:22" s="1" customFormat="1" ht="14.25" customHeight="1">
      <c r="A74" s="13"/>
      <c r="B74" s="14"/>
      <c r="C74" s="236"/>
      <c r="D74" s="1517" t="s">
        <v>58</v>
      </c>
      <c r="E74" s="34"/>
      <c r="F74" s="37"/>
      <c r="G74" s="300"/>
      <c r="H74" s="83"/>
      <c r="I74" s="118"/>
      <c r="J74" s="137"/>
      <c r="K74" s="83"/>
      <c r="L74" s="118"/>
      <c r="M74" s="137"/>
      <c r="N74" s="83"/>
      <c r="O74" s="118"/>
      <c r="P74" s="147"/>
      <c r="Q74" s="1519" t="s">
        <v>116</v>
      </c>
      <c r="R74" s="707">
        <v>18</v>
      </c>
      <c r="S74" s="707">
        <v>18</v>
      </c>
      <c r="T74" s="697">
        <v>18</v>
      </c>
      <c r="U74" s="401"/>
      <c r="V74" s="498"/>
    </row>
    <row r="75" spans="1:22" s="1" customFormat="1" ht="16.5" customHeight="1">
      <c r="A75" s="13"/>
      <c r="B75" s="14"/>
      <c r="C75" s="236"/>
      <c r="D75" s="1518"/>
      <c r="E75" s="34"/>
      <c r="F75" s="37"/>
      <c r="G75" s="66"/>
      <c r="H75" s="434"/>
      <c r="I75" s="432"/>
      <c r="J75" s="392"/>
      <c r="K75" s="434"/>
      <c r="L75" s="432"/>
      <c r="M75" s="392"/>
      <c r="N75" s="434"/>
      <c r="O75" s="432"/>
      <c r="P75" s="435"/>
      <c r="Q75" s="1520"/>
      <c r="R75" s="162"/>
      <c r="S75" s="162"/>
      <c r="T75" s="193"/>
      <c r="U75" s="401"/>
      <c r="V75" s="498"/>
    </row>
    <row r="76" spans="1:22" s="1" customFormat="1" ht="28.5" customHeight="1">
      <c r="A76" s="13"/>
      <c r="B76" s="14"/>
      <c r="C76" s="236"/>
      <c r="D76" s="1469" t="s">
        <v>59</v>
      </c>
      <c r="E76" s="34"/>
      <c r="F76" s="37"/>
      <c r="G76" s="66"/>
      <c r="H76" s="83"/>
      <c r="I76" s="118"/>
      <c r="J76" s="137"/>
      <c r="K76" s="83"/>
      <c r="L76" s="118"/>
      <c r="M76" s="137"/>
      <c r="N76" s="83"/>
      <c r="O76" s="118"/>
      <c r="P76" s="147"/>
      <c r="Q76" s="689" t="s">
        <v>117</v>
      </c>
      <c r="R76" s="165">
        <v>11</v>
      </c>
      <c r="S76" s="165">
        <v>4</v>
      </c>
      <c r="T76" s="188">
        <v>4</v>
      </c>
      <c r="U76" s="715"/>
      <c r="V76" s="498"/>
    </row>
    <row r="77" spans="1:22" s="1" customFormat="1" ht="24.75" customHeight="1">
      <c r="A77" s="13"/>
      <c r="B77" s="14"/>
      <c r="C77" s="236"/>
      <c r="D77" s="1521"/>
      <c r="E77" s="34"/>
      <c r="F77" s="37"/>
      <c r="G77" s="66"/>
      <c r="H77" s="83"/>
      <c r="I77" s="118"/>
      <c r="J77" s="137"/>
      <c r="K77" s="83"/>
      <c r="L77" s="118"/>
      <c r="M77" s="137"/>
      <c r="N77" s="83"/>
      <c r="O77" s="118"/>
      <c r="P77" s="147"/>
      <c r="Q77" s="691"/>
      <c r="R77" s="166"/>
      <c r="S77" s="166"/>
      <c r="T77" s="191"/>
      <c r="U77" s="715"/>
      <c r="V77" s="498"/>
    </row>
    <row r="78" spans="1:22" s="1" customFormat="1" ht="24" customHeight="1">
      <c r="A78" s="13"/>
      <c r="B78" s="36"/>
      <c r="C78" s="244"/>
      <c r="D78" s="1513" t="s">
        <v>115</v>
      </c>
      <c r="E78" s="20"/>
      <c r="F78" s="37"/>
      <c r="G78" s="66"/>
      <c r="H78" s="83"/>
      <c r="I78" s="118"/>
      <c r="J78" s="137"/>
      <c r="K78" s="83"/>
      <c r="L78" s="118"/>
      <c r="M78" s="137"/>
      <c r="N78" s="83"/>
      <c r="O78" s="118"/>
      <c r="P78" s="147"/>
      <c r="Q78" s="704" t="s">
        <v>90</v>
      </c>
      <c r="R78" s="164">
        <v>2</v>
      </c>
      <c r="S78" s="164">
        <v>2</v>
      </c>
      <c r="T78" s="192">
        <v>2</v>
      </c>
      <c r="U78" s="401"/>
      <c r="V78" s="498"/>
    </row>
    <row r="79" spans="1:22" s="1" customFormat="1" ht="31.5" customHeight="1">
      <c r="A79" s="13"/>
      <c r="B79" s="36"/>
      <c r="C79" s="244"/>
      <c r="D79" s="1545"/>
      <c r="E79" s="20"/>
      <c r="F79" s="37"/>
      <c r="G79" s="66"/>
      <c r="H79" s="83"/>
      <c r="I79" s="118"/>
      <c r="J79" s="643"/>
      <c r="K79" s="83"/>
      <c r="L79" s="118"/>
      <c r="M79" s="643"/>
      <c r="N79" s="83"/>
      <c r="O79" s="118"/>
      <c r="P79" s="147"/>
      <c r="Q79" s="253"/>
      <c r="R79" s="162"/>
      <c r="S79" s="162"/>
      <c r="T79" s="193"/>
      <c r="U79" s="401"/>
      <c r="V79" s="498"/>
    </row>
    <row r="80" spans="1:22" s="1" customFormat="1" ht="54.75" customHeight="1">
      <c r="A80" s="13"/>
      <c r="B80" s="14"/>
      <c r="C80" s="236"/>
      <c r="D80" s="637" t="s">
        <v>175</v>
      </c>
      <c r="E80" s="34"/>
      <c r="F80" s="37"/>
      <c r="G80" s="66"/>
      <c r="H80" s="83"/>
      <c r="I80" s="118"/>
      <c r="J80" s="643"/>
      <c r="K80" s="83"/>
      <c r="L80" s="118"/>
      <c r="M80" s="643"/>
      <c r="N80" s="83"/>
      <c r="O80" s="118"/>
      <c r="P80" s="147"/>
      <c r="Q80" s="234" t="s">
        <v>118</v>
      </c>
      <c r="R80" s="162">
        <v>10</v>
      </c>
      <c r="S80" s="167">
        <v>10</v>
      </c>
      <c r="T80" s="189">
        <v>10</v>
      </c>
      <c r="U80" s="401"/>
      <c r="V80" s="498"/>
    </row>
    <row r="81" spans="1:22" s="1" customFormat="1" ht="54" customHeight="1">
      <c r="A81" s="13"/>
      <c r="B81" s="36"/>
      <c r="C81" s="244"/>
      <c r="D81" s="371" t="s">
        <v>123</v>
      </c>
      <c r="E81" s="373"/>
      <c r="F81" s="37"/>
      <c r="G81" s="66"/>
      <c r="H81" s="83"/>
      <c r="I81" s="118"/>
      <c r="J81" s="147"/>
      <c r="K81" s="83"/>
      <c r="L81" s="118"/>
      <c r="M81" s="643"/>
      <c r="N81" s="83"/>
      <c r="O81" s="118"/>
      <c r="P81" s="147"/>
      <c r="Q81" s="263" t="s">
        <v>121</v>
      </c>
      <c r="R81" s="167">
        <v>116</v>
      </c>
      <c r="S81" s="163">
        <v>116</v>
      </c>
      <c r="T81" s="187">
        <v>116</v>
      </c>
      <c r="U81" s="401"/>
      <c r="V81" s="498"/>
    </row>
    <row r="82" spans="1:22" s="1" customFormat="1" ht="25.5" customHeight="1">
      <c r="A82" s="13"/>
      <c r="B82" s="14"/>
      <c r="C82" s="244"/>
      <c r="D82" s="1546" t="s">
        <v>60</v>
      </c>
      <c r="E82" s="373"/>
      <c r="F82" s="37"/>
      <c r="G82" s="66"/>
      <c r="H82" s="142"/>
      <c r="I82" s="222"/>
      <c r="J82" s="246"/>
      <c r="K82" s="142"/>
      <c r="L82" s="222"/>
      <c r="M82" s="246"/>
      <c r="N82" s="142"/>
      <c r="O82" s="222"/>
      <c r="P82" s="246"/>
      <c r="Q82" s="690" t="s">
        <v>61</v>
      </c>
      <c r="R82" s="301">
        <v>19</v>
      </c>
      <c r="S82" s="301">
        <v>19</v>
      </c>
      <c r="T82" s="302">
        <v>19</v>
      </c>
      <c r="U82" s="715"/>
      <c r="V82" s="498"/>
    </row>
    <row r="83" spans="1:22" s="1" customFormat="1" ht="16.5" customHeight="1">
      <c r="A83" s="13"/>
      <c r="B83" s="14"/>
      <c r="C83" s="244"/>
      <c r="D83" s="1547"/>
      <c r="E83" s="373"/>
      <c r="F83" s="37"/>
      <c r="G83" s="66"/>
      <c r="H83" s="142"/>
      <c r="I83" s="222"/>
      <c r="J83" s="246"/>
      <c r="K83" s="142"/>
      <c r="L83" s="222"/>
      <c r="M83" s="652"/>
      <c r="N83" s="142"/>
      <c r="O83" s="222"/>
      <c r="P83" s="246"/>
      <c r="Q83" s="478"/>
      <c r="R83" s="166"/>
      <c r="S83" s="166"/>
      <c r="T83" s="191"/>
      <c r="U83" s="715"/>
      <c r="V83" s="498"/>
    </row>
    <row r="84" spans="1:22" s="1" customFormat="1" ht="42" customHeight="1">
      <c r="A84" s="13"/>
      <c r="B84" s="36"/>
      <c r="C84" s="244"/>
      <c r="D84" s="371" t="s">
        <v>62</v>
      </c>
      <c r="E84" s="373"/>
      <c r="F84" s="37"/>
      <c r="G84" s="66"/>
      <c r="H84" s="83"/>
      <c r="I84" s="118"/>
      <c r="J84" s="147"/>
      <c r="K84" s="83"/>
      <c r="L84" s="118"/>
      <c r="M84" s="643"/>
      <c r="N84" s="83"/>
      <c r="O84" s="118"/>
      <c r="P84" s="147"/>
      <c r="Q84" s="263" t="s">
        <v>63</v>
      </c>
      <c r="R84" s="163">
        <v>80</v>
      </c>
      <c r="S84" s="163">
        <v>80</v>
      </c>
      <c r="T84" s="187">
        <v>80</v>
      </c>
      <c r="U84" s="401"/>
      <c r="V84" s="498"/>
    </row>
    <row r="85" spans="1:22" s="1" customFormat="1" ht="30" customHeight="1">
      <c r="A85" s="13"/>
      <c r="B85" s="36"/>
      <c r="C85" s="244"/>
      <c r="D85" s="610" t="s">
        <v>64</v>
      </c>
      <c r="E85" s="373"/>
      <c r="F85" s="37"/>
      <c r="G85" s="66"/>
      <c r="H85" s="83"/>
      <c r="I85" s="118"/>
      <c r="J85" s="147"/>
      <c r="K85" s="83"/>
      <c r="L85" s="118"/>
      <c r="M85" s="643"/>
      <c r="N85" s="83"/>
      <c r="O85" s="118"/>
      <c r="P85" s="147"/>
      <c r="Q85" s="699" t="s">
        <v>176</v>
      </c>
      <c r="R85" s="479">
        <v>1</v>
      </c>
      <c r="S85" s="357"/>
      <c r="T85" s="190"/>
      <c r="U85" s="401"/>
      <c r="V85" s="498"/>
    </row>
    <row r="86" spans="1:22" s="1" customFormat="1" ht="27.75" customHeight="1">
      <c r="A86" s="13"/>
      <c r="B86" s="36"/>
      <c r="C86" s="383"/>
      <c r="D86" s="1436" t="s">
        <v>65</v>
      </c>
      <c r="E86" s="373"/>
      <c r="F86" s="37"/>
      <c r="G86" s="49"/>
      <c r="H86" s="83"/>
      <c r="I86" s="118"/>
      <c r="J86" s="147"/>
      <c r="K86" s="83"/>
      <c r="L86" s="118"/>
      <c r="M86" s="643"/>
      <c r="N86" s="83"/>
      <c r="O86" s="118"/>
      <c r="P86" s="147"/>
      <c r="Q86" s="477" t="s">
        <v>151</v>
      </c>
      <c r="R86" s="176">
        <v>100</v>
      </c>
      <c r="S86" s="297"/>
      <c r="T86" s="229"/>
      <c r="U86" s="180"/>
      <c r="V86" s="498"/>
    </row>
    <row r="87" spans="1:22" s="1" customFormat="1" ht="28.5" customHeight="1">
      <c r="A87" s="13"/>
      <c r="B87" s="36"/>
      <c r="C87" s="383"/>
      <c r="D87" s="1438"/>
      <c r="E87" s="373"/>
      <c r="F87" s="37"/>
      <c r="G87" s="49"/>
      <c r="H87" s="83"/>
      <c r="I87" s="118"/>
      <c r="J87" s="147"/>
      <c r="K87" s="83"/>
      <c r="L87" s="118"/>
      <c r="M87" s="643"/>
      <c r="N87" s="83"/>
      <c r="O87" s="118"/>
      <c r="P87" s="147"/>
      <c r="Q87" s="135" t="s">
        <v>179</v>
      </c>
      <c r="R87" s="360">
        <v>100</v>
      </c>
      <c r="S87" s="483"/>
      <c r="T87" s="484"/>
      <c r="U87" s="716"/>
      <c r="V87" s="498"/>
    </row>
    <row r="88" spans="1:22" s="1" customFormat="1" ht="17.25" customHeight="1">
      <c r="A88" s="13"/>
      <c r="B88" s="36"/>
      <c r="C88" s="383"/>
      <c r="D88" s="1438"/>
      <c r="E88" s="373"/>
      <c r="F88" s="37"/>
      <c r="G88" s="49"/>
      <c r="H88" s="83"/>
      <c r="I88" s="118"/>
      <c r="J88" s="643"/>
      <c r="K88" s="83"/>
      <c r="L88" s="118"/>
      <c r="M88" s="643"/>
      <c r="N88" s="83"/>
      <c r="O88" s="118"/>
      <c r="P88" s="147"/>
      <c r="Q88" s="1538" t="s">
        <v>180</v>
      </c>
      <c r="R88" s="171">
        <v>100</v>
      </c>
      <c r="S88" s="362"/>
      <c r="T88" s="363"/>
      <c r="U88" s="716"/>
      <c r="V88" s="508"/>
    </row>
    <row r="89" spans="1:22" s="1" customFormat="1" ht="16.5" customHeight="1">
      <c r="A89" s="13"/>
      <c r="B89" s="36"/>
      <c r="C89" s="383"/>
      <c r="D89" s="1438"/>
      <c r="E89" s="373"/>
      <c r="F89" s="37"/>
      <c r="G89" s="49"/>
      <c r="H89" s="83"/>
      <c r="I89" s="118"/>
      <c r="J89" s="643"/>
      <c r="K89" s="83"/>
      <c r="L89" s="118"/>
      <c r="M89" s="137"/>
      <c r="N89" s="83"/>
      <c r="O89" s="118"/>
      <c r="P89" s="147"/>
      <c r="Q89" s="1539"/>
      <c r="R89" s="172"/>
      <c r="S89" s="337"/>
      <c r="T89" s="364"/>
      <c r="U89" s="716"/>
      <c r="V89" s="508"/>
    </row>
    <row r="90" spans="1:22" s="1" customFormat="1" ht="12" customHeight="1">
      <c r="A90" s="13"/>
      <c r="B90" s="36"/>
      <c r="C90" s="383"/>
      <c r="D90" s="1438"/>
      <c r="E90" s="373"/>
      <c r="F90" s="37"/>
      <c r="G90" s="49"/>
      <c r="H90" s="83"/>
      <c r="I90" s="118"/>
      <c r="J90" s="643"/>
      <c r="K90" s="83"/>
      <c r="L90" s="118"/>
      <c r="M90" s="147"/>
      <c r="N90" s="83"/>
      <c r="O90" s="118"/>
      <c r="P90" s="147"/>
      <c r="Q90" s="1538" t="s">
        <v>150</v>
      </c>
      <c r="R90" s="171">
        <v>100</v>
      </c>
      <c r="S90" s="362"/>
      <c r="T90" s="363"/>
      <c r="U90" s="716"/>
      <c r="V90" s="498"/>
    </row>
    <row r="91" spans="1:22" s="1" customFormat="1" ht="15" customHeight="1">
      <c r="A91" s="13"/>
      <c r="B91" s="36"/>
      <c r="C91" s="383"/>
      <c r="D91" s="1438"/>
      <c r="E91" s="373"/>
      <c r="F91" s="37"/>
      <c r="G91" s="465"/>
      <c r="H91" s="83"/>
      <c r="I91" s="118"/>
      <c r="J91" s="643"/>
      <c r="K91" s="83"/>
      <c r="L91" s="118"/>
      <c r="M91" s="643"/>
      <c r="N91" s="83"/>
      <c r="O91" s="118"/>
      <c r="P91" s="147"/>
      <c r="Q91" s="1548"/>
      <c r="R91" s="172"/>
      <c r="S91" s="337"/>
      <c r="T91" s="364"/>
      <c r="U91" s="716"/>
      <c r="V91" s="498"/>
    </row>
    <row r="92" spans="1:22" s="1" customFormat="1" ht="22.5" customHeight="1">
      <c r="A92" s="13"/>
      <c r="B92" s="36"/>
      <c r="C92" s="383"/>
      <c r="D92" s="634"/>
      <c r="E92" s="373"/>
      <c r="F92" s="374"/>
      <c r="G92" s="465"/>
      <c r="H92" s="83"/>
      <c r="I92" s="118"/>
      <c r="J92" s="147"/>
      <c r="K92" s="83"/>
      <c r="L92" s="118"/>
      <c r="M92" s="147"/>
      <c r="N92" s="83"/>
      <c r="O92" s="118"/>
      <c r="P92" s="147"/>
      <c r="Q92" s="1459" t="s">
        <v>148</v>
      </c>
      <c r="R92" s="398">
        <v>100</v>
      </c>
      <c r="S92" s="178"/>
      <c r="T92" s="358"/>
      <c r="U92" s="180"/>
      <c r="V92" s="498"/>
    </row>
    <row r="93" spans="1:22" s="1" customFormat="1" ht="19.5" customHeight="1">
      <c r="A93" s="13"/>
      <c r="B93" s="36"/>
      <c r="C93" s="383"/>
      <c r="D93" s="634"/>
      <c r="E93" s="373"/>
      <c r="F93" s="374"/>
      <c r="G93" s="465"/>
      <c r="H93" s="83"/>
      <c r="I93" s="118"/>
      <c r="J93" s="147"/>
      <c r="K93" s="83"/>
      <c r="L93" s="118"/>
      <c r="M93" s="147"/>
      <c r="N93" s="83"/>
      <c r="O93" s="118"/>
      <c r="P93" s="147"/>
      <c r="Q93" s="1512"/>
      <c r="R93" s="172"/>
      <c r="S93" s="337"/>
      <c r="T93" s="346"/>
      <c r="U93" s="180"/>
      <c r="V93" s="498"/>
    </row>
    <row r="94" spans="1:22" s="1" customFormat="1" ht="29.25" customHeight="1">
      <c r="A94" s="13"/>
      <c r="B94" s="36"/>
      <c r="C94" s="383"/>
      <c r="D94" s="619"/>
      <c r="E94" s="34"/>
      <c r="F94" s="355"/>
      <c r="G94" s="252"/>
      <c r="H94" s="83"/>
      <c r="I94" s="118"/>
      <c r="J94" s="147"/>
      <c r="K94" s="83"/>
      <c r="L94" s="118"/>
      <c r="M94" s="147"/>
      <c r="N94" s="83"/>
      <c r="O94" s="118"/>
      <c r="P94" s="147"/>
      <c r="Q94" s="635" t="s">
        <v>139</v>
      </c>
      <c r="R94" s="173">
        <v>100</v>
      </c>
      <c r="S94" s="298"/>
      <c r="T94" s="194"/>
      <c r="U94" s="180"/>
      <c r="V94" s="498"/>
    </row>
    <row r="95" spans="1:22" s="1" customFormat="1" ht="17.25" customHeight="1">
      <c r="A95" s="13"/>
      <c r="B95" s="14"/>
      <c r="C95" s="244"/>
      <c r="D95" s="1522" t="s">
        <v>177</v>
      </c>
      <c r="E95" s="373"/>
      <c r="F95" s="480"/>
      <c r="G95" s="220"/>
      <c r="H95" s="142"/>
      <c r="I95" s="222"/>
      <c r="J95" s="246"/>
      <c r="K95" s="142"/>
      <c r="L95" s="222"/>
      <c r="M95" s="652"/>
      <c r="N95" s="114"/>
      <c r="O95" s="379"/>
      <c r="P95" s="654"/>
      <c r="Q95" s="1523" t="s">
        <v>178</v>
      </c>
      <c r="R95" s="304"/>
      <c r="S95" s="304">
        <v>13</v>
      </c>
      <c r="T95" s="305">
        <v>13</v>
      </c>
      <c r="U95" s="717"/>
      <c r="V95" s="503"/>
    </row>
    <row r="96" spans="1:22" s="1" customFormat="1" ht="23.25" customHeight="1">
      <c r="A96" s="13"/>
      <c r="B96" s="14"/>
      <c r="C96" s="244"/>
      <c r="D96" s="1513"/>
      <c r="E96" s="373"/>
      <c r="F96" s="480"/>
      <c r="G96" s="223"/>
      <c r="H96" s="184"/>
      <c r="I96" s="224"/>
      <c r="J96" s="644"/>
      <c r="K96" s="184"/>
      <c r="L96" s="224"/>
      <c r="M96" s="644"/>
      <c r="N96" s="653"/>
      <c r="O96" s="599"/>
      <c r="P96" s="638"/>
      <c r="Q96" s="1524"/>
      <c r="R96" s="482"/>
      <c r="S96" s="482"/>
      <c r="T96" s="302"/>
      <c r="U96" s="715"/>
      <c r="V96" s="503"/>
    </row>
    <row r="97" spans="1:22" s="1" customFormat="1" ht="16.5" customHeight="1" thickBot="1">
      <c r="A97" s="26"/>
      <c r="B97" s="594"/>
      <c r="C97" s="251"/>
      <c r="D97" s="600"/>
      <c r="E97" s="389"/>
      <c r="F97" s="390"/>
      <c r="G97" s="453" t="s">
        <v>47</v>
      </c>
      <c r="H97" s="85">
        <f t="shared" ref="H97:P97" si="21">SUM(H67:H96)</f>
        <v>445.7</v>
      </c>
      <c r="I97" s="201">
        <f t="shared" si="21"/>
        <v>445.7</v>
      </c>
      <c r="J97" s="200">
        <f t="shared" si="21"/>
        <v>0</v>
      </c>
      <c r="K97" s="85">
        <f t="shared" si="21"/>
        <v>413.6</v>
      </c>
      <c r="L97" s="201">
        <f t="shared" si="21"/>
        <v>413.6</v>
      </c>
      <c r="M97" s="200">
        <f t="shared" si="21"/>
        <v>0</v>
      </c>
      <c r="N97" s="85">
        <f t="shared" si="21"/>
        <v>413.6</v>
      </c>
      <c r="O97" s="201">
        <f t="shared" si="21"/>
        <v>413.6</v>
      </c>
      <c r="P97" s="200">
        <f t="shared" si="21"/>
        <v>0</v>
      </c>
      <c r="Q97" s="455"/>
      <c r="R97" s="399"/>
      <c r="S97" s="695"/>
      <c r="T97" s="698"/>
      <c r="U97" s="401"/>
    </row>
    <row r="98" spans="1:22" s="1" customFormat="1" ht="15.75" customHeight="1">
      <c r="A98" s="1494" t="s">
        <v>13</v>
      </c>
      <c r="B98" s="1496" t="s">
        <v>13</v>
      </c>
      <c r="C98" s="1503" t="s">
        <v>42</v>
      </c>
      <c r="D98" s="1505" t="s">
        <v>66</v>
      </c>
      <c r="E98" s="1508"/>
      <c r="F98" s="1491">
        <v>1</v>
      </c>
      <c r="G98" s="254" t="s">
        <v>19</v>
      </c>
      <c r="H98" s="139">
        <f>9+17</f>
        <v>26</v>
      </c>
      <c r="I98" s="117">
        <f>9+17</f>
        <v>26</v>
      </c>
      <c r="J98" s="151"/>
      <c r="K98" s="139">
        <v>9</v>
      </c>
      <c r="L98" s="117">
        <v>9</v>
      </c>
      <c r="M98" s="151"/>
      <c r="N98" s="139">
        <v>9</v>
      </c>
      <c r="O98" s="117">
        <v>9</v>
      </c>
      <c r="P98" s="151"/>
      <c r="Q98" s="29" t="s">
        <v>67</v>
      </c>
      <c r="R98" s="706">
        <v>4</v>
      </c>
      <c r="S98" s="706">
        <v>4</v>
      </c>
      <c r="T98" s="696">
        <v>4</v>
      </c>
      <c r="U98" s="401"/>
      <c r="V98" s="498"/>
    </row>
    <row r="99" spans="1:22" s="1" customFormat="1" ht="37.5" customHeight="1">
      <c r="A99" s="1481"/>
      <c r="B99" s="1482"/>
      <c r="C99" s="1499"/>
      <c r="D99" s="1506"/>
      <c r="E99" s="1509"/>
      <c r="F99" s="1492"/>
      <c r="G99" s="66"/>
      <c r="H99" s="83"/>
      <c r="I99" s="118"/>
      <c r="J99" s="147"/>
      <c r="K99" s="83"/>
      <c r="L99" s="118"/>
      <c r="M99" s="147"/>
      <c r="N99" s="83"/>
      <c r="O99" s="118"/>
      <c r="P99" s="147"/>
      <c r="Q99" s="709" t="s">
        <v>183</v>
      </c>
      <c r="R99" s="707">
        <v>1</v>
      </c>
      <c r="S99" s="707"/>
      <c r="T99" s="697"/>
      <c r="U99" s="401"/>
      <c r="V99" s="504"/>
    </row>
    <row r="100" spans="1:22" s="1" customFormat="1" ht="17.25" customHeight="1" thickBot="1">
      <c r="A100" s="1495"/>
      <c r="B100" s="1497"/>
      <c r="C100" s="1504"/>
      <c r="D100" s="1507"/>
      <c r="E100" s="1510"/>
      <c r="F100" s="1493"/>
      <c r="G100" s="39" t="s">
        <v>47</v>
      </c>
      <c r="H100" s="85">
        <f>SUM(H98:H99)</f>
        <v>26</v>
      </c>
      <c r="I100" s="201">
        <f>SUM(I98:I99)</f>
        <v>26</v>
      </c>
      <c r="J100" s="311">
        <f>SUM(J98:J99)</f>
        <v>0</v>
      </c>
      <c r="K100" s="85">
        <f t="shared" ref="K100:M100" si="22">SUM(K98)</f>
        <v>9</v>
      </c>
      <c r="L100" s="201">
        <f t="shared" ref="L100" si="23">SUM(L98)</f>
        <v>9</v>
      </c>
      <c r="M100" s="200">
        <f t="shared" si="22"/>
        <v>0</v>
      </c>
      <c r="N100" s="85">
        <f t="shared" ref="N100:P100" si="24">SUM(N98)</f>
        <v>9</v>
      </c>
      <c r="O100" s="201">
        <f t="shared" ref="O100" si="25">SUM(O98)</f>
        <v>9</v>
      </c>
      <c r="P100" s="200">
        <f t="shared" si="24"/>
        <v>0</v>
      </c>
      <c r="Q100" s="719"/>
      <c r="R100" s="708"/>
      <c r="S100" s="708"/>
      <c r="T100" s="698"/>
      <c r="U100" s="401"/>
      <c r="V100" s="498"/>
    </row>
    <row r="101" spans="1:22" s="40" customFormat="1" ht="21" customHeight="1">
      <c r="A101" s="1494" t="s">
        <v>13</v>
      </c>
      <c r="B101" s="1496" t="s">
        <v>13</v>
      </c>
      <c r="C101" s="1498" t="s">
        <v>44</v>
      </c>
      <c r="D101" s="1488" t="s">
        <v>217</v>
      </c>
      <c r="E101" s="597"/>
      <c r="F101" s="631">
        <v>5</v>
      </c>
      <c r="G101" s="70" t="s">
        <v>20</v>
      </c>
      <c r="H101" s="109">
        <v>5.4</v>
      </c>
      <c r="I101" s="153">
        <v>5.4</v>
      </c>
      <c r="J101" s="146"/>
      <c r="K101" s="109">
        <v>5.4</v>
      </c>
      <c r="L101" s="153">
        <v>5.4</v>
      </c>
      <c r="M101" s="146"/>
      <c r="N101" s="109">
        <v>5.4</v>
      </c>
      <c r="O101" s="153">
        <v>5.4</v>
      </c>
      <c r="P101" s="146"/>
      <c r="Q101" s="1501" t="s">
        <v>94</v>
      </c>
      <c r="R101" s="707">
        <v>1</v>
      </c>
      <c r="S101" s="397">
        <v>1</v>
      </c>
      <c r="T101" s="697">
        <v>1</v>
      </c>
      <c r="U101" s="401"/>
      <c r="V101" s="505"/>
    </row>
    <row r="102" spans="1:22" s="40" customFormat="1" ht="6" customHeight="1">
      <c r="A102" s="1481"/>
      <c r="B102" s="1482"/>
      <c r="C102" s="1499"/>
      <c r="D102" s="1438"/>
      <c r="E102" s="467"/>
      <c r="F102" s="585"/>
      <c r="G102" s="66"/>
      <c r="H102" s="83"/>
      <c r="I102" s="118"/>
      <c r="J102" s="147"/>
      <c r="K102" s="83"/>
      <c r="L102" s="118"/>
      <c r="M102" s="147"/>
      <c r="N102" s="83"/>
      <c r="O102" s="118"/>
      <c r="P102" s="147"/>
      <c r="Q102" s="1502"/>
      <c r="R102" s="707"/>
      <c r="S102" s="398"/>
      <c r="T102" s="697"/>
      <c r="U102" s="401"/>
      <c r="V102" s="505"/>
    </row>
    <row r="103" spans="1:22" s="40" customFormat="1" ht="18.75" customHeight="1" thickBot="1">
      <c r="A103" s="1495"/>
      <c r="B103" s="1497"/>
      <c r="C103" s="1500"/>
      <c r="D103" s="233"/>
      <c r="E103" s="598"/>
      <c r="F103" s="251"/>
      <c r="G103" s="39" t="s">
        <v>47</v>
      </c>
      <c r="H103" s="85">
        <f t="shared" ref="H103:P103" si="26">SUM(H101:H101)</f>
        <v>5.4</v>
      </c>
      <c r="I103" s="201">
        <f t="shared" si="26"/>
        <v>5.4</v>
      </c>
      <c r="J103" s="200">
        <f t="shared" si="26"/>
        <v>0</v>
      </c>
      <c r="K103" s="85">
        <f t="shared" si="26"/>
        <v>5.4</v>
      </c>
      <c r="L103" s="201">
        <f t="shared" si="26"/>
        <v>5.4</v>
      </c>
      <c r="M103" s="200">
        <f t="shared" si="26"/>
        <v>0</v>
      </c>
      <c r="N103" s="85">
        <f t="shared" si="26"/>
        <v>5.4</v>
      </c>
      <c r="O103" s="201">
        <f t="shared" si="26"/>
        <v>5.4</v>
      </c>
      <c r="P103" s="200">
        <f t="shared" si="26"/>
        <v>0</v>
      </c>
      <c r="Q103" s="692"/>
      <c r="R103" s="708"/>
      <c r="S103" s="399"/>
      <c r="T103" s="698"/>
      <c r="U103" s="401"/>
      <c r="V103" s="505"/>
    </row>
    <row r="104" spans="1:22" s="1" customFormat="1" ht="15" customHeight="1" thickBot="1">
      <c r="A104" s="593" t="s">
        <v>13</v>
      </c>
      <c r="B104" s="605" t="s">
        <v>13</v>
      </c>
      <c r="C104" s="1461" t="s">
        <v>68</v>
      </c>
      <c r="D104" s="1462"/>
      <c r="E104" s="1462"/>
      <c r="F104" s="1462"/>
      <c r="G104" s="1511"/>
      <c r="H104" s="429">
        <f t="shared" ref="H104:P104" si="27">H103+H100+H97+H66+H64+H60+H43+H41+H38+H35+H32</f>
        <v>14183.099999999999</v>
      </c>
      <c r="I104" s="433">
        <f t="shared" si="27"/>
        <v>14098.099999999999</v>
      </c>
      <c r="J104" s="645">
        <f t="shared" si="27"/>
        <v>-85</v>
      </c>
      <c r="K104" s="429">
        <f t="shared" si="27"/>
        <v>14469.5</v>
      </c>
      <c r="L104" s="433">
        <f t="shared" si="27"/>
        <v>14469.5</v>
      </c>
      <c r="M104" s="645">
        <f t="shared" si="27"/>
        <v>0</v>
      </c>
      <c r="N104" s="119">
        <f t="shared" si="27"/>
        <v>11549.4</v>
      </c>
      <c r="O104" s="437">
        <f t="shared" si="27"/>
        <v>11549.4</v>
      </c>
      <c r="P104" s="470">
        <f t="shared" si="27"/>
        <v>0</v>
      </c>
      <c r="Q104" s="41"/>
      <c r="R104" s="255"/>
      <c r="S104" s="255"/>
      <c r="T104" s="168"/>
      <c r="U104" s="423"/>
      <c r="V104" s="498"/>
    </row>
    <row r="105" spans="1:22" s="1" customFormat="1" ht="17.25" customHeight="1" thickBot="1">
      <c r="A105" s="43" t="s">
        <v>13</v>
      </c>
      <c r="B105" s="44" t="s">
        <v>21</v>
      </c>
      <c r="C105" s="1463" t="s">
        <v>69</v>
      </c>
      <c r="D105" s="1464"/>
      <c r="E105" s="1464"/>
      <c r="F105" s="1464"/>
      <c r="G105" s="1464"/>
      <c r="H105" s="1464"/>
      <c r="I105" s="1464"/>
      <c r="J105" s="1464"/>
      <c r="K105" s="1464"/>
      <c r="L105" s="1464"/>
      <c r="M105" s="1464"/>
      <c r="N105" s="1464"/>
      <c r="O105" s="1464"/>
      <c r="P105" s="1464"/>
      <c r="Q105" s="1464"/>
      <c r="R105" s="1464"/>
      <c r="S105" s="1464"/>
      <c r="T105" s="1464"/>
      <c r="U105" s="1466"/>
      <c r="V105" s="498"/>
    </row>
    <row r="106" spans="1:22" s="1" customFormat="1" ht="15.75" customHeight="1">
      <c r="A106" s="583" t="s">
        <v>13</v>
      </c>
      <c r="B106" s="604" t="s">
        <v>21</v>
      </c>
      <c r="C106" s="585" t="s">
        <v>13</v>
      </c>
      <c r="D106" s="1488" t="s">
        <v>102</v>
      </c>
      <c r="E106" s="1489" t="s">
        <v>108</v>
      </c>
      <c r="F106" s="631">
        <v>1</v>
      </c>
      <c r="G106" s="359" t="s">
        <v>19</v>
      </c>
      <c r="H106" s="656">
        <f>487.8-48.6-15.7+81.6</f>
        <v>505.1</v>
      </c>
      <c r="I106" s="658">
        <f>487.8-48.6-15.7+81.6</f>
        <v>505.1</v>
      </c>
      <c r="J106" s="655"/>
      <c r="K106" s="657">
        <f>424+81.6</f>
        <v>505.6</v>
      </c>
      <c r="L106" s="658">
        <f>424+81.6</f>
        <v>505.6</v>
      </c>
      <c r="M106" s="530"/>
      <c r="N106" s="657">
        <f>424+81.6</f>
        <v>505.6</v>
      </c>
      <c r="O106" s="658">
        <f>424+81.6</f>
        <v>505.6</v>
      </c>
      <c r="P106" s="530"/>
      <c r="Q106" s="216" t="s">
        <v>96</v>
      </c>
      <c r="R106" s="226">
        <v>439</v>
      </c>
      <c r="S106" s="226">
        <v>439</v>
      </c>
      <c r="T106" s="212">
        <v>439</v>
      </c>
      <c r="U106" s="1362"/>
      <c r="V106" s="498"/>
    </row>
    <row r="107" spans="1:22" s="1" customFormat="1" ht="26.25" customHeight="1">
      <c r="A107" s="583"/>
      <c r="B107" s="604"/>
      <c r="C107" s="585"/>
      <c r="D107" s="1470"/>
      <c r="E107" s="1490"/>
      <c r="F107" s="585"/>
      <c r="G107" s="114" t="s">
        <v>110</v>
      </c>
      <c r="H107" s="83">
        <v>8</v>
      </c>
      <c r="I107" s="118">
        <v>8</v>
      </c>
      <c r="J107" s="147"/>
      <c r="K107" s="83"/>
      <c r="L107" s="118"/>
      <c r="M107" s="147"/>
      <c r="N107" s="83"/>
      <c r="O107" s="118"/>
      <c r="P107" s="147"/>
      <c r="Q107" s="608" t="s">
        <v>137</v>
      </c>
      <c r="R107" s="213">
        <v>439</v>
      </c>
      <c r="S107" s="213">
        <v>439</v>
      </c>
      <c r="T107" s="214">
        <v>439</v>
      </c>
      <c r="U107" s="1363"/>
      <c r="V107" s="498"/>
    </row>
    <row r="108" spans="1:22" s="1" customFormat="1" ht="17.25" customHeight="1">
      <c r="A108" s="583"/>
      <c r="B108" s="604"/>
      <c r="C108" s="585"/>
      <c r="D108" s="611"/>
      <c r="E108" s="1490"/>
      <c r="F108" s="585"/>
      <c r="G108" s="114"/>
      <c r="H108" s="83"/>
      <c r="I108" s="118"/>
      <c r="J108" s="147"/>
      <c r="K108" s="83"/>
      <c r="L108" s="118"/>
      <c r="M108" s="147"/>
      <c r="N108" s="83"/>
      <c r="O108" s="118"/>
      <c r="P108" s="147"/>
      <c r="Q108" s="135" t="s">
        <v>97</v>
      </c>
      <c r="R108" s="197">
        <v>3</v>
      </c>
      <c r="S108" s="197">
        <v>50</v>
      </c>
      <c r="T108" s="196">
        <v>50</v>
      </c>
      <c r="U108" s="1363"/>
      <c r="V108" s="498"/>
    </row>
    <row r="109" spans="1:22" s="1" customFormat="1" ht="17.25" customHeight="1">
      <c r="A109" s="583"/>
      <c r="B109" s="604"/>
      <c r="C109" s="585"/>
      <c r="D109" s="611"/>
      <c r="E109" s="1490"/>
      <c r="F109" s="585"/>
      <c r="G109" s="114"/>
      <c r="H109" s="83"/>
      <c r="I109" s="118"/>
      <c r="J109" s="147"/>
      <c r="K109" s="83"/>
      <c r="L109" s="118"/>
      <c r="M109" s="147"/>
      <c r="N109" s="83"/>
      <c r="O109" s="118"/>
      <c r="P109" s="147"/>
      <c r="Q109" s="135" t="s">
        <v>95</v>
      </c>
      <c r="R109" s="197">
        <v>5</v>
      </c>
      <c r="S109" s="197">
        <v>5</v>
      </c>
      <c r="T109" s="196">
        <v>5</v>
      </c>
      <c r="U109" s="1363"/>
      <c r="V109" s="498"/>
    </row>
    <row r="110" spans="1:22" s="1" customFormat="1" ht="17.25" customHeight="1">
      <c r="A110" s="583"/>
      <c r="B110" s="604"/>
      <c r="C110" s="585"/>
      <c r="D110" s="634"/>
      <c r="E110" s="1490"/>
      <c r="F110" s="585"/>
      <c r="G110" s="114"/>
      <c r="H110" s="83"/>
      <c r="I110" s="118"/>
      <c r="J110" s="147"/>
      <c r="K110" s="83"/>
      <c r="L110" s="118"/>
      <c r="M110" s="147"/>
      <c r="N110" s="83"/>
      <c r="O110" s="118"/>
      <c r="P110" s="147"/>
      <c r="Q110" s="609" t="s">
        <v>119</v>
      </c>
      <c r="R110" s="215">
        <v>4</v>
      </c>
      <c r="S110" s="215"/>
      <c r="T110" s="196">
        <v>1</v>
      </c>
      <c r="U110" s="1363"/>
      <c r="V110" s="498"/>
    </row>
    <row r="111" spans="1:22" s="1" customFormat="1" ht="18" customHeight="1">
      <c r="A111" s="583"/>
      <c r="B111" s="604"/>
      <c r="C111" s="585"/>
      <c r="D111" s="634"/>
      <c r="E111" s="1490"/>
      <c r="F111" s="585"/>
      <c r="G111" s="114"/>
      <c r="H111" s="83"/>
      <c r="I111" s="118"/>
      <c r="J111" s="147"/>
      <c r="K111" s="83"/>
      <c r="L111" s="118"/>
      <c r="M111" s="147"/>
      <c r="N111" s="83"/>
      <c r="O111" s="118"/>
      <c r="P111" s="147"/>
      <c r="Q111" s="135" t="s">
        <v>120</v>
      </c>
      <c r="R111" s="197">
        <v>14</v>
      </c>
      <c r="S111" s="197">
        <v>14</v>
      </c>
      <c r="T111" s="196">
        <v>14</v>
      </c>
      <c r="U111" s="1363"/>
      <c r="V111" s="498"/>
    </row>
    <row r="112" spans="1:22" s="1" customFormat="1" ht="40.5" customHeight="1">
      <c r="A112" s="583"/>
      <c r="B112" s="604"/>
      <c r="C112" s="585"/>
      <c r="D112" s="634"/>
      <c r="E112" s="612"/>
      <c r="F112" s="585"/>
      <c r="G112" s="115"/>
      <c r="H112" s="110"/>
      <c r="I112" s="154"/>
      <c r="J112" s="148"/>
      <c r="K112" s="110"/>
      <c r="L112" s="154"/>
      <c r="M112" s="148"/>
      <c r="N112" s="110"/>
      <c r="O112" s="154"/>
      <c r="P112" s="148"/>
      <c r="Q112" s="608" t="s">
        <v>218</v>
      </c>
      <c r="R112" s="213">
        <v>1</v>
      </c>
      <c r="S112" s="213">
        <v>1</v>
      </c>
      <c r="T112" s="214">
        <v>1</v>
      </c>
      <c r="U112" s="759"/>
      <c r="V112" s="498"/>
    </row>
    <row r="113" spans="1:22" s="40" customFormat="1" ht="15.75" customHeight="1" thickBot="1">
      <c r="A113" s="583"/>
      <c r="B113" s="604"/>
      <c r="C113" s="585"/>
      <c r="D113" s="394"/>
      <c r="E113" s="598"/>
      <c r="F113" s="251"/>
      <c r="G113" s="463" t="s">
        <v>47</v>
      </c>
      <c r="H113" s="85">
        <f t="shared" ref="H113:P113" si="28">SUM(H106:H112)</f>
        <v>513.1</v>
      </c>
      <c r="I113" s="201">
        <f t="shared" si="28"/>
        <v>513.1</v>
      </c>
      <c r="J113" s="200">
        <f t="shared" si="28"/>
        <v>0</v>
      </c>
      <c r="K113" s="85">
        <f t="shared" si="28"/>
        <v>505.6</v>
      </c>
      <c r="L113" s="201">
        <f t="shared" si="28"/>
        <v>505.6</v>
      </c>
      <c r="M113" s="200">
        <f t="shared" si="28"/>
        <v>0</v>
      </c>
      <c r="N113" s="85">
        <f t="shared" si="28"/>
        <v>505.6</v>
      </c>
      <c r="O113" s="201">
        <f t="shared" si="28"/>
        <v>505.6</v>
      </c>
      <c r="P113" s="200">
        <f t="shared" si="28"/>
        <v>0</v>
      </c>
      <c r="Q113" s="590"/>
      <c r="R113" s="633"/>
      <c r="S113" s="399"/>
      <c r="T113" s="603"/>
      <c r="U113" s="756"/>
      <c r="V113" s="505"/>
    </row>
    <row r="114" spans="1:22" s="1" customFormat="1" ht="13.5" thickBot="1">
      <c r="A114" s="43" t="s">
        <v>13</v>
      </c>
      <c r="B114" s="47" t="s">
        <v>21</v>
      </c>
      <c r="C114" s="1418" t="s">
        <v>68</v>
      </c>
      <c r="D114" s="1419"/>
      <c r="E114" s="1419"/>
      <c r="F114" s="1419"/>
      <c r="G114" s="1462"/>
      <c r="H114" s="119">
        <f t="shared" ref="H114" si="29">H113</f>
        <v>513.1</v>
      </c>
      <c r="I114" s="437">
        <f t="shared" ref="I114:P114" si="30">I113</f>
        <v>513.1</v>
      </c>
      <c r="J114" s="470">
        <f t="shared" ref="J114:L114" si="31">J113</f>
        <v>0</v>
      </c>
      <c r="K114" s="119">
        <f t="shared" si="31"/>
        <v>505.6</v>
      </c>
      <c r="L114" s="437">
        <f t="shared" si="31"/>
        <v>505.6</v>
      </c>
      <c r="M114" s="470">
        <f t="shared" si="30"/>
        <v>0</v>
      </c>
      <c r="N114" s="119">
        <f t="shared" ref="N114:O114" si="32">N113</f>
        <v>505.6</v>
      </c>
      <c r="O114" s="437">
        <f t="shared" si="32"/>
        <v>505.6</v>
      </c>
      <c r="P114" s="470">
        <f t="shared" si="30"/>
        <v>0</v>
      </c>
      <c r="Q114" s="306"/>
      <c r="R114" s="307"/>
      <c r="S114" s="307"/>
      <c r="T114" s="307"/>
      <c r="U114" s="423"/>
      <c r="V114" s="498"/>
    </row>
    <row r="115" spans="1:22" s="1" customFormat="1" ht="17.25" customHeight="1" thickBot="1">
      <c r="A115" s="43" t="s">
        <v>13</v>
      </c>
      <c r="B115" s="44" t="s">
        <v>25</v>
      </c>
      <c r="C115" s="1463" t="s">
        <v>130</v>
      </c>
      <c r="D115" s="1464"/>
      <c r="E115" s="1464"/>
      <c r="F115" s="1464"/>
      <c r="G115" s="1464"/>
      <c r="H115" s="1464"/>
      <c r="I115" s="1464"/>
      <c r="J115" s="1464"/>
      <c r="K115" s="1464"/>
      <c r="L115" s="1464"/>
      <c r="M115" s="1464"/>
      <c r="N115" s="1464"/>
      <c r="O115" s="1464"/>
      <c r="P115" s="1464"/>
      <c r="Q115" s="1464"/>
      <c r="R115" s="1464"/>
      <c r="S115" s="1464"/>
      <c r="T115" s="1464"/>
      <c r="U115" s="1466"/>
      <c r="V115" s="498"/>
    </row>
    <row r="116" spans="1:22" s="1" customFormat="1" ht="15" customHeight="1">
      <c r="A116" s="620" t="s">
        <v>13</v>
      </c>
      <c r="B116" s="621" t="s">
        <v>25</v>
      </c>
      <c r="C116" s="622" t="s">
        <v>13</v>
      </c>
      <c r="D116" s="586" t="s">
        <v>152</v>
      </c>
      <c r="E116" s="458"/>
      <c r="F116" s="409">
        <v>1</v>
      </c>
      <c r="G116" s="570" t="s">
        <v>19</v>
      </c>
      <c r="H116" s="139">
        <v>28.5</v>
      </c>
      <c r="I116" s="117">
        <v>28.5</v>
      </c>
      <c r="J116" s="151"/>
      <c r="K116" s="139">
        <v>88.5</v>
      </c>
      <c r="L116" s="117">
        <v>88.5</v>
      </c>
      <c r="M116" s="202"/>
      <c r="N116" s="139">
        <v>2.5</v>
      </c>
      <c r="O116" s="117">
        <v>2.5</v>
      </c>
      <c r="P116" s="202"/>
      <c r="Q116" s="564"/>
      <c r="R116" s="397"/>
      <c r="S116" s="397"/>
      <c r="T116" s="400"/>
      <c r="U116" s="400"/>
      <c r="V116" s="498"/>
    </row>
    <row r="117" spans="1:22" s="1" customFormat="1" ht="15" customHeight="1">
      <c r="A117" s="613"/>
      <c r="B117" s="614"/>
      <c r="C117" s="616"/>
      <c r="D117" s="636"/>
      <c r="E117" s="124"/>
      <c r="F117" s="585"/>
      <c r="G117" s="66" t="s">
        <v>110</v>
      </c>
      <c r="H117" s="83">
        <v>34.5</v>
      </c>
      <c r="I117" s="118">
        <v>34.5</v>
      </c>
      <c r="J117" s="147"/>
      <c r="K117" s="540"/>
      <c r="L117" s="663"/>
      <c r="M117" s="662"/>
      <c r="N117" s="540"/>
      <c r="O117" s="663"/>
      <c r="P117" s="662"/>
      <c r="Q117" s="457"/>
      <c r="R117" s="398"/>
      <c r="S117" s="398"/>
      <c r="T117" s="401"/>
      <c r="U117" s="401"/>
      <c r="V117" s="498"/>
    </row>
    <row r="118" spans="1:22" s="1" customFormat="1" ht="15" customHeight="1">
      <c r="A118" s="613"/>
      <c r="B118" s="614"/>
      <c r="C118" s="616"/>
      <c r="D118" s="563"/>
      <c r="E118" s="456"/>
      <c r="F118" s="632"/>
      <c r="G118" s="347" t="s">
        <v>131</v>
      </c>
      <c r="H118" s="110">
        <v>165</v>
      </c>
      <c r="I118" s="154">
        <v>165</v>
      </c>
      <c r="J118" s="148"/>
      <c r="K118" s="110">
        <v>168.4</v>
      </c>
      <c r="L118" s="154">
        <v>168.4</v>
      </c>
      <c r="M118" s="148"/>
      <c r="N118" s="110">
        <v>113.8</v>
      </c>
      <c r="O118" s="154">
        <v>113.8</v>
      </c>
      <c r="P118" s="148"/>
      <c r="Q118" s="459"/>
      <c r="R118" s="398"/>
      <c r="S118" s="398"/>
      <c r="T118" s="401"/>
      <c r="U118" s="401"/>
      <c r="V118" s="498"/>
    </row>
    <row r="119" spans="1:22" s="1" customFormat="1" ht="17.25" customHeight="1">
      <c r="A119" s="1481"/>
      <c r="B119" s="1482"/>
      <c r="C119" s="1483"/>
      <c r="D119" s="1484" t="s">
        <v>144</v>
      </c>
      <c r="E119" s="1485" t="s">
        <v>202</v>
      </c>
      <c r="F119" s="1486" t="s">
        <v>18</v>
      </c>
      <c r="G119" s="66"/>
      <c r="H119" s="256"/>
      <c r="I119" s="257"/>
      <c r="J119" s="258"/>
      <c r="K119" s="83"/>
      <c r="L119" s="118"/>
      <c r="M119" s="137"/>
      <c r="N119" s="83"/>
      <c r="O119" s="118"/>
      <c r="P119" s="147"/>
      <c r="Q119" s="1475" t="s">
        <v>143</v>
      </c>
      <c r="R119" s="176">
        <v>1</v>
      </c>
      <c r="S119" s="560"/>
      <c r="T119" s="192"/>
      <c r="U119" s="66"/>
      <c r="V119" s="498"/>
    </row>
    <row r="120" spans="1:22" s="1" customFormat="1" ht="12" customHeight="1">
      <c r="A120" s="1481"/>
      <c r="B120" s="1482"/>
      <c r="C120" s="1483"/>
      <c r="D120" s="1484"/>
      <c r="E120" s="1485"/>
      <c r="F120" s="1487"/>
      <c r="G120" s="66"/>
      <c r="H120" s="83"/>
      <c r="I120" s="118"/>
      <c r="J120" s="147"/>
      <c r="K120" s="83"/>
      <c r="L120" s="118"/>
      <c r="M120" s="137"/>
      <c r="N120" s="83"/>
      <c r="O120" s="118"/>
      <c r="P120" s="147"/>
      <c r="Q120" s="1476"/>
      <c r="R120" s="173"/>
      <c r="S120" s="173"/>
      <c r="T120" s="193"/>
      <c r="U120" s="66"/>
      <c r="V120" s="498"/>
    </row>
    <row r="121" spans="1:22" s="4" customFormat="1" ht="12.75" customHeight="1">
      <c r="A121" s="1442"/>
      <c r="B121" s="1445"/>
      <c r="C121" s="1448"/>
      <c r="D121" s="1477" t="s">
        <v>164</v>
      </c>
      <c r="E121" s="1479" t="s">
        <v>201</v>
      </c>
      <c r="F121" s="351"/>
      <c r="G121" s="49"/>
      <c r="H121" s="83"/>
      <c r="I121" s="118"/>
      <c r="J121" s="147"/>
      <c r="K121" s="83"/>
      <c r="L121" s="118"/>
      <c r="M121" s="137"/>
      <c r="N121" s="83"/>
      <c r="O121" s="118"/>
      <c r="P121" s="147"/>
      <c r="Q121" s="565" t="s">
        <v>210</v>
      </c>
      <c r="R121" s="353"/>
      <c r="S121" s="171"/>
      <c r="T121" s="192">
        <v>7</v>
      </c>
      <c r="U121" s="66"/>
      <c r="V121" s="500"/>
    </row>
    <row r="122" spans="1:22" s="4" customFormat="1" ht="15.75" customHeight="1">
      <c r="A122" s="1442"/>
      <c r="B122" s="1445"/>
      <c r="C122" s="1448"/>
      <c r="D122" s="1478"/>
      <c r="E122" s="1480"/>
      <c r="F122" s="618"/>
      <c r="G122" s="49"/>
      <c r="H122" s="83"/>
      <c r="I122" s="118"/>
      <c r="J122" s="147"/>
      <c r="K122" s="83"/>
      <c r="L122" s="118"/>
      <c r="M122" s="147"/>
      <c r="N122" s="83"/>
      <c r="O122" s="118"/>
      <c r="P122" s="147"/>
      <c r="Q122" s="566" t="s">
        <v>133</v>
      </c>
      <c r="R122" s="567">
        <v>66</v>
      </c>
      <c r="S122" s="567">
        <v>150</v>
      </c>
      <c r="T122" s="395">
        <v>50</v>
      </c>
      <c r="U122" s="659"/>
      <c r="V122" s="500"/>
    </row>
    <row r="123" spans="1:22" s="4" customFormat="1" ht="27" customHeight="1">
      <c r="A123" s="1442"/>
      <c r="B123" s="1445"/>
      <c r="C123" s="1448"/>
      <c r="D123" s="1478"/>
      <c r="E123" s="1480"/>
      <c r="F123" s="618"/>
      <c r="G123" s="49"/>
      <c r="H123" s="83"/>
      <c r="I123" s="118"/>
      <c r="J123" s="147"/>
      <c r="K123" s="83"/>
      <c r="L123" s="118"/>
      <c r="M123" s="147"/>
      <c r="N123" s="83"/>
      <c r="O123" s="118"/>
      <c r="P123" s="147"/>
      <c r="Q123" s="566" t="s">
        <v>134</v>
      </c>
      <c r="R123" s="567"/>
      <c r="S123" s="567"/>
      <c r="T123" s="395">
        <v>20</v>
      </c>
      <c r="U123" s="659"/>
      <c r="V123" s="500"/>
    </row>
    <row r="124" spans="1:22" s="4" customFormat="1" ht="16.5" customHeight="1">
      <c r="A124" s="1442"/>
      <c r="B124" s="1445"/>
      <c r="C124" s="1448"/>
      <c r="D124" s="623"/>
      <c r="E124" s="402"/>
      <c r="F124" s="618"/>
      <c r="G124" s="49"/>
      <c r="H124" s="83"/>
      <c r="I124" s="118"/>
      <c r="J124" s="147"/>
      <c r="K124" s="83"/>
      <c r="L124" s="118"/>
      <c r="M124" s="137"/>
      <c r="N124" s="83"/>
      <c r="O124" s="118"/>
      <c r="P124" s="147"/>
      <c r="Q124" s="568" t="s">
        <v>132</v>
      </c>
      <c r="R124" s="569"/>
      <c r="S124" s="569">
        <v>1</v>
      </c>
      <c r="T124" s="342"/>
      <c r="U124" s="659"/>
      <c r="V124" s="500"/>
    </row>
    <row r="125" spans="1:22" s="4" customFormat="1" ht="29.25" customHeight="1">
      <c r="A125" s="1442"/>
      <c r="B125" s="1445"/>
      <c r="C125" s="1448"/>
      <c r="D125" s="617" t="s">
        <v>211</v>
      </c>
      <c r="E125" s="471"/>
      <c r="F125" s="351"/>
      <c r="G125" s="49"/>
      <c r="H125" s="83"/>
      <c r="I125" s="118"/>
      <c r="J125" s="147"/>
      <c r="K125" s="83"/>
      <c r="L125" s="118"/>
      <c r="M125" s="137"/>
      <c r="N125" s="83"/>
      <c r="O125" s="118"/>
      <c r="P125" s="137"/>
      <c r="Q125" s="561" t="s">
        <v>140</v>
      </c>
      <c r="R125" s="562"/>
      <c r="S125" s="562">
        <v>1</v>
      </c>
      <c r="T125" s="192"/>
      <c r="U125" s="602"/>
      <c r="V125" s="506"/>
    </row>
    <row r="126" spans="1:22" s="40" customFormat="1" ht="15.75" customHeight="1" thickBot="1">
      <c r="A126" s="1443"/>
      <c r="B126" s="1446"/>
      <c r="C126" s="1449"/>
      <c r="D126" s="394"/>
      <c r="E126" s="571"/>
      <c r="F126" s="251"/>
      <c r="G126" s="463" t="s">
        <v>47</v>
      </c>
      <c r="H126" s="85">
        <f t="shared" ref="H126:P126" si="33">SUM(H116:H125)</f>
        <v>228</v>
      </c>
      <c r="I126" s="201">
        <f t="shared" si="33"/>
        <v>228</v>
      </c>
      <c r="J126" s="200">
        <f t="shared" si="33"/>
        <v>0</v>
      </c>
      <c r="K126" s="85">
        <f t="shared" si="33"/>
        <v>256.89999999999998</v>
      </c>
      <c r="L126" s="201">
        <f t="shared" si="33"/>
        <v>256.89999999999998</v>
      </c>
      <c r="M126" s="200">
        <f t="shared" si="33"/>
        <v>0</v>
      </c>
      <c r="N126" s="85">
        <f t="shared" si="33"/>
        <v>116.3</v>
      </c>
      <c r="O126" s="201">
        <f t="shared" si="33"/>
        <v>116.3</v>
      </c>
      <c r="P126" s="200">
        <f t="shared" si="33"/>
        <v>0</v>
      </c>
      <c r="Q126" s="590"/>
      <c r="R126" s="633"/>
      <c r="S126" s="399"/>
      <c r="T126" s="603"/>
      <c r="U126" s="603"/>
      <c r="V126" s="505"/>
    </row>
    <row r="127" spans="1:22" s="1" customFormat="1" ht="13.5" thickBot="1">
      <c r="A127" s="593" t="s">
        <v>13</v>
      </c>
      <c r="B127" s="615" t="s">
        <v>25</v>
      </c>
      <c r="C127" s="1461" t="s">
        <v>68</v>
      </c>
      <c r="D127" s="1462"/>
      <c r="E127" s="1462"/>
      <c r="F127" s="1462"/>
      <c r="G127" s="1462"/>
      <c r="H127" s="429">
        <f>H126</f>
        <v>228</v>
      </c>
      <c r="I127" s="433">
        <f>I126</f>
        <v>228</v>
      </c>
      <c r="J127" s="661">
        <f>J126</f>
        <v>0</v>
      </c>
      <c r="K127" s="429">
        <f t="shared" ref="K127:L127" si="34">K126</f>
        <v>256.89999999999998</v>
      </c>
      <c r="L127" s="433">
        <f t="shared" si="34"/>
        <v>256.89999999999998</v>
      </c>
      <c r="M127" s="661">
        <f t="shared" ref="M127:P127" si="35">M126</f>
        <v>0</v>
      </c>
      <c r="N127" s="429">
        <f t="shared" ref="N127:O127" si="36">N126</f>
        <v>116.3</v>
      </c>
      <c r="O127" s="433">
        <f t="shared" si="36"/>
        <v>116.3</v>
      </c>
      <c r="P127" s="661">
        <f t="shared" si="35"/>
        <v>0</v>
      </c>
      <c r="Q127" s="41"/>
      <c r="R127" s="168"/>
      <c r="S127" s="168"/>
      <c r="T127" s="255"/>
      <c r="U127" s="42"/>
      <c r="V127" s="498"/>
    </row>
    <row r="128" spans="1:22" s="1" customFormat="1" ht="16.5" customHeight="1" thickBot="1">
      <c r="A128" s="43" t="s">
        <v>13</v>
      </c>
      <c r="B128" s="245" t="s">
        <v>27</v>
      </c>
      <c r="C128" s="1463" t="s">
        <v>71</v>
      </c>
      <c r="D128" s="1464"/>
      <c r="E128" s="1464"/>
      <c r="F128" s="1464"/>
      <c r="G128" s="1464"/>
      <c r="H128" s="1465"/>
      <c r="I128" s="1465"/>
      <c r="J128" s="1465"/>
      <c r="K128" s="1465"/>
      <c r="L128" s="1465"/>
      <c r="M128" s="1465"/>
      <c r="N128" s="1465"/>
      <c r="O128" s="1465"/>
      <c r="P128" s="1465"/>
      <c r="Q128" s="1464"/>
      <c r="R128" s="1464"/>
      <c r="S128" s="1464"/>
      <c r="T128" s="1464"/>
      <c r="U128" s="1466"/>
      <c r="V128" s="498"/>
    </row>
    <row r="129" spans="1:23" s="1" customFormat="1" ht="15" customHeight="1">
      <c r="A129" s="592" t="s">
        <v>13</v>
      </c>
      <c r="B129" s="621" t="s">
        <v>27</v>
      </c>
      <c r="C129" s="595" t="s">
        <v>13</v>
      </c>
      <c r="D129" s="1467" t="s">
        <v>72</v>
      </c>
      <c r="E129" s="372"/>
      <c r="F129" s="132" t="s">
        <v>18</v>
      </c>
      <c r="G129" s="261" t="s">
        <v>19</v>
      </c>
      <c r="H129" s="664">
        <v>96.5</v>
      </c>
      <c r="I129" s="475">
        <v>96.5</v>
      </c>
      <c r="J129" s="667"/>
      <c r="K129" s="664">
        <v>220</v>
      </c>
      <c r="L129" s="475">
        <v>220</v>
      </c>
      <c r="M129" s="667"/>
      <c r="N129" s="664">
        <v>400</v>
      </c>
      <c r="O129" s="475">
        <v>400</v>
      </c>
      <c r="P129" s="667"/>
      <c r="Q129" s="588"/>
      <c r="R129" s="397"/>
      <c r="S129" s="397"/>
      <c r="T129" s="400"/>
      <c r="U129" s="400"/>
      <c r="V129" s="498"/>
    </row>
    <row r="130" spans="1:23" s="1" customFormat="1" ht="15" customHeight="1">
      <c r="A130" s="583"/>
      <c r="B130" s="614"/>
      <c r="C130" s="596"/>
      <c r="D130" s="1438"/>
      <c r="E130" s="73"/>
      <c r="F130" s="396"/>
      <c r="G130" s="19" t="s">
        <v>110</v>
      </c>
      <c r="H130" s="142">
        <f>218.3+2</f>
        <v>220.3</v>
      </c>
      <c r="I130" s="222">
        <f>218.3+2</f>
        <v>220.3</v>
      </c>
      <c r="J130" s="246"/>
      <c r="K130" s="572"/>
      <c r="L130" s="672"/>
      <c r="M130" s="572"/>
      <c r="N130" s="665"/>
      <c r="O130" s="672"/>
      <c r="P130" s="668"/>
      <c r="Q130" s="589"/>
      <c r="R130" s="398"/>
      <c r="S130" s="398"/>
      <c r="T130" s="401"/>
      <c r="U130" s="401"/>
      <c r="V130" s="498"/>
    </row>
    <row r="131" spans="1:23" s="1" customFormat="1" ht="7.5" customHeight="1">
      <c r="A131" s="583"/>
      <c r="B131" s="614"/>
      <c r="C131" s="596"/>
      <c r="D131" s="1468"/>
      <c r="E131" s="73"/>
      <c r="F131" s="396"/>
      <c r="G131" s="16"/>
      <c r="H131" s="665"/>
      <c r="I131" s="672"/>
      <c r="J131" s="668"/>
      <c r="K131" s="572"/>
      <c r="L131" s="672"/>
      <c r="M131" s="572"/>
      <c r="N131" s="665"/>
      <c r="O131" s="672"/>
      <c r="P131" s="668"/>
      <c r="Q131" s="589"/>
      <c r="R131" s="398"/>
      <c r="S131" s="398"/>
      <c r="T131" s="401"/>
      <c r="U131" s="401"/>
      <c r="V131" s="498"/>
    </row>
    <row r="132" spans="1:23" s="1" customFormat="1" ht="15" customHeight="1">
      <c r="A132" s="583"/>
      <c r="B132" s="604"/>
      <c r="C132" s="596"/>
      <c r="D132" s="1469" t="s">
        <v>157</v>
      </c>
      <c r="E132" s="73"/>
      <c r="F132" s="396"/>
      <c r="G132" s="25"/>
      <c r="H132" s="225"/>
      <c r="I132" s="673"/>
      <c r="J132" s="513"/>
      <c r="K132" s="219"/>
      <c r="L132" s="673"/>
      <c r="M132" s="219"/>
      <c r="N132" s="225"/>
      <c r="O132" s="673"/>
      <c r="P132" s="513"/>
      <c r="Q132" s="477" t="s">
        <v>153</v>
      </c>
      <c r="R132" s="248">
        <v>90</v>
      </c>
      <c r="S132" s="248">
        <v>90</v>
      </c>
      <c r="T132" s="412" t="s">
        <v>181</v>
      </c>
      <c r="U132" s="660"/>
      <c r="V132" s="498"/>
    </row>
    <row r="133" spans="1:23" s="1" customFormat="1" ht="15" customHeight="1">
      <c r="A133" s="583"/>
      <c r="B133" s="604"/>
      <c r="C133" s="596"/>
      <c r="D133" s="1470"/>
      <c r="E133" s="73"/>
      <c r="F133" s="396"/>
      <c r="G133" s="19"/>
      <c r="H133" s="142"/>
      <c r="I133" s="222"/>
      <c r="J133" s="246"/>
      <c r="K133" s="221"/>
      <c r="L133" s="222"/>
      <c r="M133" s="221"/>
      <c r="N133" s="142"/>
      <c r="O133" s="222"/>
      <c r="P133" s="246"/>
      <c r="Q133" s="606" t="s">
        <v>182</v>
      </c>
      <c r="R133" s="264">
        <v>14</v>
      </c>
      <c r="S133" s="264"/>
      <c r="T133" s="413"/>
      <c r="U133" s="660"/>
      <c r="V133" s="498"/>
      <c r="W133" s="271"/>
    </row>
    <row r="134" spans="1:23" s="1" customFormat="1" ht="26.25" customHeight="1">
      <c r="A134" s="583"/>
      <c r="B134" s="604"/>
      <c r="C134" s="596"/>
      <c r="D134" s="1470"/>
      <c r="E134" s="73"/>
      <c r="F134" s="396"/>
      <c r="G134" s="19"/>
      <c r="H134" s="142"/>
      <c r="I134" s="222"/>
      <c r="J134" s="246"/>
      <c r="K134" s="221"/>
      <c r="L134" s="222"/>
      <c r="M134" s="221"/>
      <c r="N134" s="142"/>
      <c r="O134" s="222"/>
      <c r="P134" s="246"/>
      <c r="Q134" s="516" t="s">
        <v>191</v>
      </c>
      <c r="R134" s="206">
        <v>1</v>
      </c>
      <c r="S134" s="206"/>
      <c r="T134" s="514"/>
      <c r="U134" s="660"/>
      <c r="V134" s="498"/>
      <c r="W134" s="271"/>
    </row>
    <row r="135" spans="1:23" s="1" customFormat="1" ht="18.75" customHeight="1">
      <c r="A135" s="583"/>
      <c r="B135" s="604"/>
      <c r="C135" s="596"/>
      <c r="D135" s="1471" t="s">
        <v>125</v>
      </c>
      <c r="E135" s="73"/>
      <c r="F135" s="396"/>
      <c r="G135" s="19"/>
      <c r="H135" s="142"/>
      <c r="I135" s="222"/>
      <c r="J135" s="246"/>
      <c r="K135" s="221"/>
      <c r="L135" s="222"/>
      <c r="M135" s="221"/>
      <c r="N135" s="142"/>
      <c r="O135" s="222"/>
      <c r="P135" s="246"/>
      <c r="Q135" s="1473" t="s">
        <v>154</v>
      </c>
      <c r="R135" s="264">
        <v>100</v>
      </c>
      <c r="S135" s="264"/>
      <c r="T135" s="265"/>
      <c r="U135" s="49"/>
      <c r="V135" s="498"/>
      <c r="W135" s="271"/>
    </row>
    <row r="136" spans="1:23" s="1" customFormat="1" ht="20.25" customHeight="1">
      <c r="A136" s="583"/>
      <c r="B136" s="604"/>
      <c r="C136" s="596"/>
      <c r="D136" s="1472"/>
      <c r="E136" s="73"/>
      <c r="F136" s="396"/>
      <c r="G136" s="19"/>
      <c r="H136" s="142"/>
      <c r="I136" s="222"/>
      <c r="J136" s="246"/>
      <c r="K136" s="221"/>
      <c r="L136" s="222"/>
      <c r="M136" s="221"/>
      <c r="N136" s="142"/>
      <c r="O136" s="222"/>
      <c r="P136" s="246"/>
      <c r="Q136" s="1474"/>
      <c r="R136" s="264"/>
      <c r="S136" s="264"/>
      <c r="T136" s="265"/>
      <c r="U136" s="49"/>
      <c r="V136" s="498"/>
      <c r="W136" s="271"/>
    </row>
    <row r="137" spans="1:23" s="1" customFormat="1" ht="40.5" customHeight="1">
      <c r="A137" s="583"/>
      <c r="B137" s="604"/>
      <c r="C137" s="596"/>
      <c r="D137" s="607" t="s">
        <v>190</v>
      </c>
      <c r="E137" s="73"/>
      <c r="F137" s="396"/>
      <c r="G137" s="680" t="s">
        <v>19</v>
      </c>
      <c r="H137" s="910"/>
      <c r="I137" s="915">
        <v>-15</v>
      </c>
      <c r="J137" s="916">
        <f>I137-H137</f>
        <v>-15</v>
      </c>
      <c r="K137" s="911"/>
      <c r="L137" s="912"/>
      <c r="M137" s="911"/>
      <c r="N137" s="913"/>
      <c r="O137" s="912"/>
      <c r="P137" s="914"/>
      <c r="Q137" s="367" t="s">
        <v>189</v>
      </c>
      <c r="R137" s="217">
        <v>100</v>
      </c>
      <c r="S137" s="485"/>
      <c r="T137" s="486"/>
      <c r="U137" s="923" t="s">
        <v>238</v>
      </c>
      <c r="V137" s="511"/>
      <c r="W137" s="271"/>
    </row>
    <row r="138" spans="1:23" s="1" customFormat="1" ht="26.25" customHeight="1">
      <c r="A138" s="583"/>
      <c r="B138" s="604"/>
      <c r="C138" s="596"/>
      <c r="D138" s="607" t="s">
        <v>188</v>
      </c>
      <c r="E138" s="73"/>
      <c r="F138" s="396"/>
      <c r="G138" s="19"/>
      <c r="H138" s="142"/>
      <c r="I138" s="222"/>
      <c r="J138" s="246"/>
      <c r="K138" s="221"/>
      <c r="L138" s="222"/>
      <c r="M138" s="221"/>
      <c r="N138" s="142"/>
      <c r="O138" s="222"/>
      <c r="P138" s="246"/>
      <c r="Q138" s="830" t="s">
        <v>155</v>
      </c>
      <c r="R138" s="248">
        <v>70</v>
      </c>
      <c r="S138" s="248">
        <v>100</v>
      </c>
      <c r="T138" s="274"/>
      <c r="U138" s="49"/>
      <c r="V138" s="498"/>
      <c r="W138" s="271"/>
    </row>
    <row r="139" spans="1:23" s="1" customFormat="1" ht="15" customHeight="1">
      <c r="A139" s="583"/>
      <c r="B139" s="604"/>
      <c r="C139" s="596"/>
      <c r="D139" s="1436" t="s">
        <v>197</v>
      </c>
      <c r="E139" s="73"/>
      <c r="F139" s="396"/>
      <c r="G139" s="19"/>
      <c r="H139" s="142"/>
      <c r="I139" s="222"/>
      <c r="J139" s="246"/>
      <c r="K139" s="142"/>
      <c r="L139" s="222"/>
      <c r="M139" s="246"/>
      <c r="N139" s="221"/>
      <c r="O139" s="222"/>
      <c r="P139" s="246"/>
      <c r="Q139" s="207" t="s">
        <v>192</v>
      </c>
      <c r="R139" s="248">
        <v>1</v>
      </c>
      <c r="S139" s="248"/>
      <c r="T139" s="274"/>
      <c r="U139" s="49"/>
      <c r="W139" s="271"/>
    </row>
    <row r="140" spans="1:23" s="1" customFormat="1" ht="27" customHeight="1">
      <c r="A140" s="583"/>
      <c r="B140" s="604"/>
      <c r="C140" s="596"/>
      <c r="D140" s="1437"/>
      <c r="E140" s="73"/>
      <c r="F140" s="396"/>
      <c r="G140" s="19"/>
      <c r="H140" s="142"/>
      <c r="I140" s="222"/>
      <c r="J140" s="246"/>
      <c r="K140" s="142"/>
      <c r="L140" s="222"/>
      <c r="M140" s="246"/>
      <c r="N140" s="221"/>
      <c r="O140" s="222"/>
      <c r="P140" s="246"/>
      <c r="Q140" s="205" t="s">
        <v>193</v>
      </c>
      <c r="R140" s="206">
        <v>30</v>
      </c>
      <c r="S140" s="206">
        <v>100</v>
      </c>
      <c r="T140" s="273"/>
      <c r="U140" s="49"/>
      <c r="V140" s="531"/>
      <c r="W140" s="271"/>
    </row>
    <row r="141" spans="1:23" s="1" customFormat="1" ht="15.75" customHeight="1">
      <c r="A141" s="583"/>
      <c r="B141" s="604"/>
      <c r="C141" s="596"/>
      <c r="D141" s="1436" t="s">
        <v>147</v>
      </c>
      <c r="E141" s="73"/>
      <c r="F141" s="396"/>
      <c r="G141" s="19"/>
      <c r="H141" s="142"/>
      <c r="I141" s="222"/>
      <c r="J141" s="246"/>
      <c r="K141" s="142"/>
      <c r="L141" s="222"/>
      <c r="M141" s="221"/>
      <c r="N141" s="142"/>
      <c r="O141" s="222"/>
      <c r="P141" s="246"/>
      <c r="Q141" s="1439" t="s">
        <v>156</v>
      </c>
      <c r="R141" s="272"/>
      <c r="S141" s="248">
        <v>30</v>
      </c>
      <c r="T141" s="274">
        <v>100</v>
      </c>
      <c r="U141" s="49"/>
      <c r="V141" s="531"/>
      <c r="W141" s="271"/>
    </row>
    <row r="142" spans="1:23" s="1" customFormat="1" ht="14.25" customHeight="1">
      <c r="A142" s="583"/>
      <c r="B142" s="604"/>
      <c r="C142" s="596"/>
      <c r="D142" s="1438"/>
      <c r="E142" s="73"/>
      <c r="F142" s="396"/>
      <c r="G142" s="19"/>
      <c r="H142" s="666"/>
      <c r="I142" s="674"/>
      <c r="J142" s="669"/>
      <c r="K142" s="510"/>
      <c r="L142" s="674"/>
      <c r="M142" s="510"/>
      <c r="N142" s="142"/>
      <c r="O142" s="222"/>
      <c r="P142" s="246"/>
      <c r="Q142" s="1440"/>
      <c r="R142" s="252"/>
      <c r="S142" s="264"/>
      <c r="T142" s="265"/>
      <c r="U142" s="49"/>
      <c r="V142" s="498"/>
      <c r="W142" s="271"/>
    </row>
    <row r="143" spans="1:23" s="40" customFormat="1" ht="15.75" customHeight="1" thickBot="1">
      <c r="A143" s="583"/>
      <c r="B143" s="604"/>
      <c r="C143" s="585"/>
      <c r="D143" s="394"/>
      <c r="E143" s="571"/>
      <c r="F143" s="251"/>
      <c r="G143" s="463" t="s">
        <v>47</v>
      </c>
      <c r="H143" s="85">
        <f>SUM(H129:H142)</f>
        <v>316.8</v>
      </c>
      <c r="I143" s="201">
        <f>SUM(I129:I142)</f>
        <v>301.8</v>
      </c>
      <c r="J143" s="200">
        <f>SUM(J129:J142)</f>
        <v>-15</v>
      </c>
      <c r="K143" s="85">
        <f t="shared" ref="K143:L143" si="37">SUM(K129:K142)</f>
        <v>220</v>
      </c>
      <c r="L143" s="201">
        <f t="shared" si="37"/>
        <v>220</v>
      </c>
      <c r="M143" s="200">
        <f t="shared" ref="M143:P143" si="38">SUM(M129:M142)</f>
        <v>0</v>
      </c>
      <c r="N143" s="85">
        <f t="shared" ref="N143:O143" si="39">SUM(N129:N142)</f>
        <v>400</v>
      </c>
      <c r="O143" s="201">
        <f t="shared" si="39"/>
        <v>400</v>
      </c>
      <c r="P143" s="200">
        <f t="shared" si="38"/>
        <v>0</v>
      </c>
      <c r="Q143" s="590"/>
      <c r="R143" s="633"/>
      <c r="S143" s="399"/>
      <c r="T143" s="603"/>
      <c r="U143" s="603"/>
      <c r="V143" s="505"/>
    </row>
    <row r="144" spans="1:23" s="4" customFormat="1" ht="15" customHeight="1">
      <c r="A144" s="1441" t="s">
        <v>13</v>
      </c>
      <c r="B144" s="1444" t="s">
        <v>27</v>
      </c>
      <c r="C144" s="1447" t="s">
        <v>21</v>
      </c>
      <c r="D144" s="1450" t="s">
        <v>113</v>
      </c>
      <c r="E144" s="1453"/>
      <c r="F144" s="1456" t="s">
        <v>52</v>
      </c>
      <c r="G144" s="49" t="s">
        <v>19</v>
      </c>
      <c r="H144" s="139"/>
      <c r="I144" s="117"/>
      <c r="J144" s="151"/>
      <c r="K144" s="202"/>
      <c r="L144" s="117"/>
      <c r="M144" s="202"/>
      <c r="N144" s="139"/>
      <c r="O144" s="117"/>
      <c r="P144" s="151"/>
      <c r="Q144" s="198"/>
      <c r="R144" s="182"/>
      <c r="S144" s="182"/>
      <c r="T144" s="179"/>
      <c r="U144" s="179"/>
      <c r="V144" s="500"/>
      <c r="W144" s="28"/>
    </row>
    <row r="145" spans="1:22" s="4" customFormat="1" ht="10.5" customHeight="1">
      <c r="A145" s="1442"/>
      <c r="B145" s="1445"/>
      <c r="C145" s="1448"/>
      <c r="D145" s="1451"/>
      <c r="E145" s="1454"/>
      <c r="F145" s="1457"/>
      <c r="G145" s="49"/>
      <c r="H145" s="83"/>
      <c r="I145" s="118"/>
      <c r="J145" s="147"/>
      <c r="K145" s="137"/>
      <c r="L145" s="118"/>
      <c r="M145" s="137"/>
      <c r="N145" s="83"/>
      <c r="O145" s="118"/>
      <c r="P145" s="147"/>
      <c r="Q145" s="1459"/>
      <c r="R145" s="183"/>
      <c r="S145" s="183"/>
      <c r="T145" s="180"/>
      <c r="U145" s="180"/>
      <c r="V145" s="500"/>
    </row>
    <row r="146" spans="1:22" s="1" customFormat="1" ht="21" customHeight="1" thickBot="1">
      <c r="A146" s="1443"/>
      <c r="B146" s="1446"/>
      <c r="C146" s="1449"/>
      <c r="D146" s="1452"/>
      <c r="E146" s="1455"/>
      <c r="F146" s="1458"/>
      <c r="G146" s="50" t="s">
        <v>47</v>
      </c>
      <c r="H146" s="85">
        <f t="shared" ref="H146" si="40">H145+H144</f>
        <v>0</v>
      </c>
      <c r="I146" s="201">
        <f t="shared" ref="I146:P146" si="41">I145+I144</f>
        <v>0</v>
      </c>
      <c r="J146" s="200">
        <f t="shared" ref="J146:L146" si="42">J145+J144</f>
        <v>0</v>
      </c>
      <c r="K146" s="311">
        <f t="shared" si="42"/>
        <v>0</v>
      </c>
      <c r="L146" s="201">
        <f t="shared" si="42"/>
        <v>0</v>
      </c>
      <c r="M146" s="311">
        <f t="shared" si="41"/>
        <v>0</v>
      </c>
      <c r="N146" s="85">
        <f t="shared" ref="N146:O146" si="43">N145+N144</f>
        <v>0</v>
      </c>
      <c r="O146" s="201">
        <f t="shared" si="43"/>
        <v>0</v>
      </c>
      <c r="P146" s="200">
        <f t="shared" si="41"/>
        <v>0</v>
      </c>
      <c r="Q146" s="1460"/>
      <c r="R146" s="399"/>
      <c r="S146" s="399"/>
      <c r="T146" s="375"/>
      <c r="U146" s="375"/>
      <c r="V146" s="498"/>
    </row>
    <row r="147" spans="1:22" s="1" customFormat="1" ht="13.5" thickBot="1">
      <c r="A147" s="43" t="s">
        <v>13</v>
      </c>
      <c r="B147" s="47" t="s">
        <v>27</v>
      </c>
      <c r="C147" s="1418" t="s">
        <v>68</v>
      </c>
      <c r="D147" s="1419"/>
      <c r="E147" s="1419"/>
      <c r="F147" s="1419"/>
      <c r="G147" s="1420"/>
      <c r="H147" s="119">
        <f>H146+H143</f>
        <v>316.8</v>
      </c>
      <c r="I147" s="437">
        <f>I146+I143</f>
        <v>301.8</v>
      </c>
      <c r="J147" s="470">
        <f>J146+J143</f>
        <v>-15</v>
      </c>
      <c r="K147" s="119">
        <f t="shared" ref="K147:L147" si="44">K146+K143</f>
        <v>220</v>
      </c>
      <c r="L147" s="437">
        <f t="shared" si="44"/>
        <v>220</v>
      </c>
      <c r="M147" s="470">
        <f t="shared" ref="M147:P147" si="45">M146+M143</f>
        <v>0</v>
      </c>
      <c r="N147" s="119">
        <f t="shared" ref="N147:O147" si="46">N146+N143</f>
        <v>400</v>
      </c>
      <c r="O147" s="437">
        <f t="shared" si="46"/>
        <v>400</v>
      </c>
      <c r="P147" s="470">
        <f t="shared" si="45"/>
        <v>0</v>
      </c>
      <c r="Q147" s="1421"/>
      <c r="R147" s="1422"/>
      <c r="S147" s="1422"/>
      <c r="T147" s="1422"/>
      <c r="U147" s="1423"/>
      <c r="V147" s="498"/>
    </row>
    <row r="148" spans="1:22" s="4" customFormat="1" ht="13.5" thickBot="1">
      <c r="A148" s="43" t="s">
        <v>13</v>
      </c>
      <c r="B148" s="1424" t="s">
        <v>73</v>
      </c>
      <c r="C148" s="1425"/>
      <c r="D148" s="1425"/>
      <c r="E148" s="1425"/>
      <c r="F148" s="1425"/>
      <c r="G148" s="1426"/>
      <c r="H148" s="86">
        <f t="shared" ref="H148:P148" si="47">SUM(H147,H114,H104,H127,)</f>
        <v>15240.999999999998</v>
      </c>
      <c r="I148" s="438">
        <f t="shared" si="47"/>
        <v>15140.999999999998</v>
      </c>
      <c r="J148" s="454">
        <f t="shared" si="47"/>
        <v>-100</v>
      </c>
      <c r="K148" s="86">
        <f t="shared" si="47"/>
        <v>15452</v>
      </c>
      <c r="L148" s="438">
        <f t="shared" si="47"/>
        <v>15452</v>
      </c>
      <c r="M148" s="671">
        <f t="shared" si="47"/>
        <v>0</v>
      </c>
      <c r="N148" s="454">
        <f t="shared" si="47"/>
        <v>12571.3</v>
      </c>
      <c r="O148" s="438">
        <f t="shared" si="47"/>
        <v>12571.3</v>
      </c>
      <c r="P148" s="454">
        <f t="shared" si="47"/>
        <v>0</v>
      </c>
      <c r="Q148" s="1427"/>
      <c r="R148" s="1428"/>
      <c r="S148" s="1428"/>
      <c r="T148" s="1428"/>
      <c r="U148" s="1429"/>
      <c r="V148" s="500"/>
    </row>
    <row r="149" spans="1:22" s="4" customFormat="1" ht="13.5" thickBot="1">
      <c r="A149" s="53" t="s">
        <v>25</v>
      </c>
      <c r="B149" s="1430" t="s">
        <v>74</v>
      </c>
      <c r="C149" s="1431"/>
      <c r="D149" s="1431"/>
      <c r="E149" s="1431"/>
      <c r="F149" s="1431"/>
      <c r="G149" s="1432"/>
      <c r="H149" s="87">
        <f t="shared" ref="H149" si="48">H148</f>
        <v>15240.999999999998</v>
      </c>
      <c r="I149" s="186">
        <f t="shared" ref="I149:P149" si="49">I148</f>
        <v>15140.999999999998</v>
      </c>
      <c r="J149" s="670">
        <f t="shared" ref="J149:L149" si="50">J148</f>
        <v>-100</v>
      </c>
      <c r="K149" s="87">
        <f t="shared" si="50"/>
        <v>15452</v>
      </c>
      <c r="L149" s="186">
        <f t="shared" si="50"/>
        <v>15452</v>
      </c>
      <c r="M149" s="670">
        <f t="shared" si="49"/>
        <v>0</v>
      </c>
      <c r="N149" s="185">
        <f t="shared" ref="N149:O149" si="51">N148</f>
        <v>12571.3</v>
      </c>
      <c r="O149" s="186">
        <f t="shared" si="51"/>
        <v>12571.3</v>
      </c>
      <c r="P149" s="185">
        <f t="shared" si="49"/>
        <v>0</v>
      </c>
      <c r="Q149" s="1433"/>
      <c r="R149" s="1434"/>
      <c r="S149" s="1434"/>
      <c r="T149" s="1434"/>
      <c r="U149" s="1435"/>
      <c r="V149" s="500"/>
    </row>
    <row r="150" spans="1:22" s="28" customFormat="1" ht="12.75">
      <c r="A150" s="133"/>
      <c r="B150" s="54"/>
      <c r="C150" s="54"/>
      <c r="D150" s="54"/>
      <c r="E150" s="54"/>
      <c r="F150" s="54"/>
      <c r="G150" s="54"/>
      <c r="H150" s="199"/>
      <c r="I150" s="199"/>
      <c r="J150" s="199"/>
      <c r="K150" s="199"/>
      <c r="L150" s="199"/>
      <c r="M150" s="199"/>
      <c r="N150" s="199"/>
      <c r="O150" s="199"/>
      <c r="P150" s="199"/>
      <c r="Q150" s="133"/>
      <c r="R150" s="133"/>
      <c r="S150" s="133"/>
      <c r="T150" s="133"/>
      <c r="U150" s="133"/>
      <c r="V150" s="500"/>
    </row>
    <row r="151" spans="1:22" s="4" customFormat="1" ht="18.75" customHeight="1">
      <c r="A151" s="38"/>
      <c r="B151" s="54"/>
      <c r="C151" s="1406" t="s">
        <v>75</v>
      </c>
      <c r="D151" s="1406"/>
      <c r="E151" s="1406"/>
      <c r="F151" s="1406"/>
      <c r="G151" s="1406"/>
      <c r="H151" s="627"/>
      <c r="I151" s="627"/>
      <c r="J151" s="627"/>
      <c r="K151" s="627"/>
      <c r="L151" s="627"/>
      <c r="M151" s="627"/>
      <c r="N151" s="627"/>
      <c r="O151" s="627"/>
      <c r="P151" s="627"/>
      <c r="Q151" s="48"/>
      <c r="R151" s="591"/>
      <c r="S151" s="591"/>
      <c r="T151" s="591"/>
      <c r="U151" s="591"/>
      <c r="V151" s="500"/>
    </row>
    <row r="152" spans="1:22" s="4" customFormat="1" ht="12" customHeight="1" thickBot="1">
      <c r="A152" s="38"/>
      <c r="B152" s="35"/>
      <c r="C152" s="35"/>
      <c r="D152" s="35"/>
      <c r="E152" s="55"/>
      <c r="F152" s="56"/>
      <c r="G152" s="48"/>
      <c r="H152" s="48"/>
      <c r="I152" s="48"/>
      <c r="J152" s="48"/>
      <c r="K152" s="48"/>
      <c r="L152" s="48"/>
      <c r="M152" s="48"/>
      <c r="N152" s="48"/>
      <c r="O152" s="48"/>
      <c r="P152" s="48"/>
      <c r="Q152" s="48"/>
      <c r="R152" s="591"/>
      <c r="S152" s="591"/>
      <c r="T152" s="591"/>
      <c r="U152" s="591"/>
      <c r="V152" s="500"/>
    </row>
    <row r="153" spans="1:22" s="4" customFormat="1" ht="83.25" customHeight="1" thickBot="1">
      <c r="A153" s="57"/>
      <c r="B153" s="57"/>
      <c r="C153" s="1407" t="s">
        <v>76</v>
      </c>
      <c r="D153" s="1408"/>
      <c r="E153" s="1408"/>
      <c r="F153" s="1408"/>
      <c r="G153" s="1409"/>
      <c r="H153" s="440" t="s">
        <v>206</v>
      </c>
      <c r="I153" s="441" t="s">
        <v>223</v>
      </c>
      <c r="J153" s="442" t="s">
        <v>158</v>
      </c>
      <c r="K153" s="443" t="s">
        <v>127</v>
      </c>
      <c r="L153" s="441" t="s">
        <v>220</v>
      </c>
      <c r="M153" s="442" t="s">
        <v>158</v>
      </c>
      <c r="N153" s="443" t="s">
        <v>161</v>
      </c>
      <c r="O153" s="441" t="s">
        <v>221</v>
      </c>
      <c r="P153" s="442" t="s">
        <v>158</v>
      </c>
      <c r="Q153" s="38"/>
      <c r="R153" s="56"/>
      <c r="S153" s="56"/>
      <c r="T153" s="56"/>
      <c r="U153" s="56"/>
      <c r="V153" s="500"/>
    </row>
    <row r="154" spans="1:22" s="4" customFormat="1" ht="12.75">
      <c r="A154" s="57"/>
      <c r="B154" s="57"/>
      <c r="C154" s="1410" t="s">
        <v>77</v>
      </c>
      <c r="D154" s="1411"/>
      <c r="E154" s="1411"/>
      <c r="F154" s="1411"/>
      <c r="G154" s="1412"/>
      <c r="H154" s="384">
        <f>H155+H163+H164+H165+H166</f>
        <v>15076</v>
      </c>
      <c r="I154" s="446">
        <f>I155+I163+I164+I165+I166</f>
        <v>14976</v>
      </c>
      <c r="J154" s="686">
        <f>J155+J163+J164+J165+J166+J162</f>
        <v>-100</v>
      </c>
      <c r="K154" s="384">
        <f>K155+K163+K164+K165+K166</f>
        <v>15283.6</v>
      </c>
      <c r="L154" s="446">
        <f t="shared" ref="L154:P154" si="52">L155+L163+L164+L165+L166</f>
        <v>15283.6</v>
      </c>
      <c r="M154" s="675">
        <f t="shared" si="52"/>
        <v>0</v>
      </c>
      <c r="N154" s="384">
        <f t="shared" si="52"/>
        <v>12457.5</v>
      </c>
      <c r="O154" s="446">
        <f t="shared" si="52"/>
        <v>12457.5</v>
      </c>
      <c r="P154" s="675">
        <f t="shared" si="52"/>
        <v>0</v>
      </c>
      <c r="Q154" s="133"/>
      <c r="R154" s="133"/>
      <c r="S154" s="133"/>
      <c r="T154" s="133"/>
      <c r="U154" s="133"/>
      <c r="V154" s="500"/>
    </row>
    <row r="155" spans="1:22" s="4" customFormat="1" ht="12.75" customHeight="1">
      <c r="A155" s="57"/>
      <c r="B155" s="57"/>
      <c r="C155" s="1413" t="s">
        <v>78</v>
      </c>
      <c r="D155" s="1414"/>
      <c r="E155" s="1414"/>
      <c r="F155" s="1414"/>
      <c r="G155" s="1415"/>
      <c r="H155" s="462">
        <f>SUM(H156:H162)</f>
        <v>14439.1</v>
      </c>
      <c r="I155" s="447">
        <f>SUM(I156:I162)</f>
        <v>14339.1</v>
      </c>
      <c r="J155" s="687">
        <f>SUM(J156:J162)</f>
        <v>-100</v>
      </c>
      <c r="K155" s="462">
        <f t="shared" ref="K155:L155" si="53">SUM(K156:K162)</f>
        <v>15283.6</v>
      </c>
      <c r="L155" s="447">
        <f t="shared" si="53"/>
        <v>15283.6</v>
      </c>
      <c r="M155" s="415">
        <f t="shared" ref="M155:P155" si="54">SUM(M156:M162)</f>
        <v>0</v>
      </c>
      <c r="N155" s="462">
        <f t="shared" ref="N155:O155" si="55">SUM(N156:N162)</f>
        <v>12457.5</v>
      </c>
      <c r="O155" s="447">
        <f t="shared" si="55"/>
        <v>12457.5</v>
      </c>
      <c r="P155" s="415">
        <f t="shared" si="54"/>
        <v>0</v>
      </c>
      <c r="Q155" s="133"/>
      <c r="R155" s="133"/>
      <c r="S155" s="133"/>
      <c r="T155" s="133"/>
      <c r="U155" s="133"/>
      <c r="V155" s="500"/>
    </row>
    <row r="156" spans="1:22" s="4" customFormat="1" ht="12.75" customHeight="1">
      <c r="A156" s="57"/>
      <c r="B156" s="57"/>
      <c r="C156" s="1393" t="s">
        <v>79</v>
      </c>
      <c r="D156" s="1394"/>
      <c r="E156" s="1394"/>
      <c r="F156" s="1394"/>
      <c r="G156" s="1395"/>
      <c r="H156" s="460">
        <f>SUMIF(G12:G149,"SB",H12:H149)</f>
        <v>13713.6</v>
      </c>
      <c r="I156" s="448">
        <f>SUMIF(G12:G149,"SB",I12:I149)</f>
        <v>13613.6</v>
      </c>
      <c r="J156" s="416">
        <f>SUMIF(G12:G149,"SB",J12:J149)</f>
        <v>-100</v>
      </c>
      <c r="K156" s="460">
        <f>SUMIF(G15:G149,"SB",K15:K149)</f>
        <v>15240.400000000001</v>
      </c>
      <c r="L156" s="448">
        <f>SUMIF(G15:G149,"SB",L15:L149)</f>
        <v>15240.400000000001</v>
      </c>
      <c r="M156" s="416">
        <f>SUMIF(G15:G149,"SB",M15:M149)</f>
        <v>0</v>
      </c>
      <c r="N156" s="460">
        <f>SUMIF(G15:G149,"SB",N15:N149)</f>
        <v>12414.300000000001</v>
      </c>
      <c r="O156" s="448">
        <f>SUMIF(G15:G149,"SB",O15:O149)</f>
        <v>12414.300000000001</v>
      </c>
      <c r="P156" s="416">
        <f>SUMIF(G15:G149,"SB",P15:P149)</f>
        <v>0</v>
      </c>
      <c r="Q156" s="38"/>
      <c r="R156" s="56"/>
      <c r="S156" s="56"/>
      <c r="T156" s="56"/>
      <c r="U156" s="56"/>
      <c r="V156" s="500"/>
    </row>
    <row r="157" spans="1:22" s="4" customFormat="1" ht="12.75" customHeight="1">
      <c r="A157" s="57"/>
      <c r="B157" s="57"/>
      <c r="C157" s="1403" t="s">
        <v>80</v>
      </c>
      <c r="D157" s="1416"/>
      <c r="E157" s="1416"/>
      <c r="F157" s="1416"/>
      <c r="G157" s="1417"/>
      <c r="H157" s="460">
        <f>SUMIF(G12:G149,"SB(VR)",H12:H149)</f>
        <v>10</v>
      </c>
      <c r="I157" s="448">
        <f>SUMIF(G12:G149,"SB(VR)",I12:I149)</f>
        <v>10</v>
      </c>
      <c r="J157" s="416">
        <f>SUMIF(G12:G149,"SB(VR)",J12:J149)</f>
        <v>0</v>
      </c>
      <c r="K157" s="460">
        <f>SUMIF(G15:G149,"SB(VR)",K15:K149)</f>
        <v>0</v>
      </c>
      <c r="L157" s="448">
        <f>SUMIF(G15:G149,"SB(VR)",L15:L149)</f>
        <v>0</v>
      </c>
      <c r="M157" s="416">
        <f>SUMIF(G15:G149,"SB(VR)",M15:M149)</f>
        <v>0</v>
      </c>
      <c r="N157" s="460">
        <f>SUMIF(G15:G149,"SB(VR)",N15:N149)</f>
        <v>0</v>
      </c>
      <c r="O157" s="448">
        <f>SUMIF(G15:G149,"SB(VR)",O15:O149)</f>
        <v>0</v>
      </c>
      <c r="P157" s="416">
        <f>SUMIF(G15:G149,"SB(VR)",P15:P149)</f>
        <v>0</v>
      </c>
      <c r="Q157" s="38"/>
      <c r="R157" s="56"/>
      <c r="S157" s="56"/>
      <c r="T157" s="56"/>
      <c r="U157" s="56"/>
      <c r="V157" s="500"/>
    </row>
    <row r="158" spans="1:22" s="4" customFormat="1" ht="12.75" customHeight="1">
      <c r="A158" s="57"/>
      <c r="B158" s="57"/>
      <c r="C158" s="1396" t="s">
        <v>81</v>
      </c>
      <c r="D158" s="1397"/>
      <c r="E158" s="1397"/>
      <c r="F158" s="1397"/>
      <c r="G158" s="1398"/>
      <c r="H158" s="460">
        <f>SUMIF(G14:G149,"SB(VB)",H14:H149)</f>
        <v>545.49999999999989</v>
      </c>
      <c r="I158" s="448">
        <f>SUMIF(G14:G149,"SB(VB)",I14:I149)</f>
        <v>545.49999999999989</v>
      </c>
      <c r="J158" s="416">
        <f>SUMIF(G14:G149,"SB(VB)",J14:J149)</f>
        <v>0</v>
      </c>
      <c r="K158" s="460">
        <f>SUMIF(G14:G149,"SB(VB)",K14:K149)</f>
        <v>5.4</v>
      </c>
      <c r="L158" s="448">
        <f>SUMIF(G14:G149,"SB(VB)",L14:L149)</f>
        <v>5.4</v>
      </c>
      <c r="M158" s="416">
        <f>SUMIF(G14:G149,"SB(VB)",M14:M149)</f>
        <v>0</v>
      </c>
      <c r="N158" s="460">
        <f>SUMIF(G14:G149,"SB(VB)",N14:N149)</f>
        <v>5.4</v>
      </c>
      <c r="O158" s="448">
        <f>SUMIF(G14:G149,"SB(VB)",O14:O149)</f>
        <v>5.4</v>
      </c>
      <c r="P158" s="416">
        <f>SUMIF(G14:G149,"SB(VB)",P14:P149)</f>
        <v>0</v>
      </c>
      <c r="Q158" s="38"/>
      <c r="R158" s="56"/>
      <c r="S158" s="56"/>
      <c r="T158" s="56"/>
      <c r="U158" s="56"/>
      <c r="V158" s="500"/>
    </row>
    <row r="159" spans="1:22" s="4" customFormat="1" ht="12.75" customHeight="1">
      <c r="A159" s="57"/>
      <c r="B159" s="57"/>
      <c r="C159" s="1396" t="s">
        <v>82</v>
      </c>
      <c r="D159" s="1397"/>
      <c r="E159" s="1397"/>
      <c r="F159" s="1397"/>
      <c r="G159" s="1398"/>
      <c r="H159" s="460">
        <f>SUMIF(F14:F149,"SB(P)",H14:H149)</f>
        <v>0</v>
      </c>
      <c r="I159" s="448">
        <f>SUMIF(G14:G149,"SB(P)",I14:I149)</f>
        <v>0</v>
      </c>
      <c r="J159" s="416">
        <f>SUMIF(G14:G149,"SB(P)",J14:J149)</f>
        <v>0</v>
      </c>
      <c r="K159" s="460">
        <f>SUMIF(G14:G149,"SB(P)",K14:K149)</f>
        <v>0</v>
      </c>
      <c r="L159" s="448">
        <f>SUMIF(G14:G149,"SB(P)",L14:L149)</f>
        <v>0</v>
      </c>
      <c r="M159" s="416">
        <f>SUMIF(G14:G149,"SB(P)",M14:M149)</f>
        <v>0</v>
      </c>
      <c r="N159" s="460">
        <f>SUMIF(G14:G149,"SB(P)",N14:N149)</f>
        <v>0</v>
      </c>
      <c r="O159" s="448">
        <f>SUMIF(G14:G149,"SB(P)",O14:O149)</f>
        <v>0</v>
      </c>
      <c r="P159" s="416">
        <f>SUMIF(G14:G149,"SB(P)",P14:P149)</f>
        <v>0</v>
      </c>
      <c r="Q159" s="48"/>
      <c r="R159" s="591"/>
      <c r="S159" s="591"/>
      <c r="T159" s="591"/>
      <c r="U159" s="591"/>
      <c r="V159" s="500"/>
    </row>
    <row r="160" spans="1:22" s="1" customFormat="1" ht="15" customHeight="1">
      <c r="A160" s="57"/>
      <c r="B160" s="57"/>
      <c r="C160" s="1399" t="s">
        <v>83</v>
      </c>
      <c r="D160" s="1400"/>
      <c r="E160" s="1400"/>
      <c r="F160" s="1400"/>
      <c r="G160" s="1401"/>
      <c r="H160" s="460">
        <f>SUMIF(G15:G149,"SB(SP)",H15:H149)</f>
        <v>150</v>
      </c>
      <c r="I160" s="448">
        <f>SUMIF(G15:G149,"SB(SP)",I15:I149)</f>
        <v>150</v>
      </c>
      <c r="J160" s="416">
        <f>SUMIF(G15:G149,"SB(SP)",J15:J149)</f>
        <v>0</v>
      </c>
      <c r="K160" s="460">
        <f>SUMIF(G15:G149,"SB(SP)",K15:K149)</f>
        <v>37.799999999999997</v>
      </c>
      <c r="L160" s="448">
        <f>SUMIF(G15:G149,"SB(SP)",L15:L149)</f>
        <v>37.799999999999997</v>
      </c>
      <c r="M160" s="416">
        <f>SUMIF(G15:G149,"SB(SP)",M15:M149)</f>
        <v>0</v>
      </c>
      <c r="N160" s="460">
        <f>SUMIF(G15:G149,"SB(SP)",N15:N149)</f>
        <v>37.799999999999997</v>
      </c>
      <c r="O160" s="448">
        <f>SUMIF(G15:G149,"SB(SP)",O15:O149)</f>
        <v>37.799999999999997</v>
      </c>
      <c r="P160" s="416">
        <f>SUMIF(G15:G149,"SB(SP)",P15:P149)</f>
        <v>0</v>
      </c>
      <c r="Q160" s="57"/>
      <c r="R160" s="58"/>
      <c r="S160" s="58"/>
      <c r="T160" s="58"/>
      <c r="U160" s="58"/>
      <c r="V160" s="498"/>
    </row>
    <row r="161" spans="1:22" s="1" customFormat="1" ht="25.5" customHeight="1">
      <c r="A161" s="57"/>
      <c r="B161" s="57"/>
      <c r="C161" s="1390" t="s">
        <v>215</v>
      </c>
      <c r="D161" s="1402"/>
      <c r="E161" s="1402"/>
      <c r="F161" s="1402"/>
      <c r="G161" s="1402"/>
      <c r="H161" s="445">
        <f>SUMIF(G7:G141,"SB(ES)",H7:H141)</f>
        <v>0</v>
      </c>
      <c r="I161" s="449">
        <f>SUMIF(G7:G141,"SB(ES)",I7:I141)</f>
        <v>0</v>
      </c>
      <c r="J161" s="676">
        <f>SUMIF(G7:G141,"SB(ES)",J7:J141)</f>
        <v>0</v>
      </c>
      <c r="K161" s="445">
        <f>SUMIF(G7:G141,"SB(ES)",K7:K141)</f>
        <v>0</v>
      </c>
      <c r="L161" s="449">
        <f>SUMIF(G7:G141,"SB(ES)",L7:L141)</f>
        <v>0</v>
      </c>
      <c r="M161" s="676">
        <f>SUMIF(G7:G141,"SB(ES)",M7:M141)</f>
        <v>0</v>
      </c>
      <c r="N161" s="445">
        <f>SUMIF(G7:G141,"SB(ES)",N7:N141)</f>
        <v>0</v>
      </c>
      <c r="O161" s="449">
        <f>SUMIF(G7:G141,"SB(ES)",O7:O141)</f>
        <v>0</v>
      </c>
      <c r="P161" s="676">
        <f>SUMIF(G7:G141,"SB(ES)",P7:P141)</f>
        <v>0</v>
      </c>
      <c r="Q161" s="57"/>
      <c r="R161" s="58"/>
      <c r="S161" s="58"/>
      <c r="T161" s="58"/>
      <c r="U161" s="58"/>
      <c r="V161" s="498"/>
    </row>
    <row r="162" spans="1:22" s="1" customFormat="1" ht="27" customHeight="1">
      <c r="A162" s="57"/>
      <c r="B162" s="57"/>
      <c r="C162" s="1403" t="s">
        <v>200</v>
      </c>
      <c r="D162" s="1404"/>
      <c r="E162" s="1404"/>
      <c r="F162" s="1404"/>
      <c r="G162" s="1405"/>
      <c r="H162" s="724">
        <f>SUMIF(G7:G142,"SB(KPP)",H7:H142)</f>
        <v>20</v>
      </c>
      <c r="I162" s="725">
        <f>SUMIF(G7:G142,"SB(KPP)",I7:I142)</f>
        <v>20</v>
      </c>
      <c r="J162" s="726">
        <f>SUMIF(G7:G142,"SB(KPP)",J7:J142)</f>
        <v>0</v>
      </c>
      <c r="K162" s="445">
        <f>SUMIF(G8:G142,"SB(KPP)",K8:K142)</f>
        <v>0</v>
      </c>
      <c r="L162" s="449">
        <f>SUMIF(G8:G142,"SB(KPP)",L8:L142)</f>
        <v>0</v>
      </c>
      <c r="M162" s="676">
        <f>SUMIF(G8:G142,"SB(KPP)",M8:M142)</f>
        <v>0</v>
      </c>
      <c r="N162" s="445">
        <f>SUMIF(G8:G142,"SB(KPP)",N8:N142)</f>
        <v>0</v>
      </c>
      <c r="O162" s="449">
        <f>SUMIF(G8:G142,"SB(KPP)",O8:O142)</f>
        <v>0</v>
      </c>
      <c r="P162" s="676">
        <f>SUMIF(G8:G142,"SB(KPP)",P8:P142)</f>
        <v>0</v>
      </c>
      <c r="Q162" s="57"/>
      <c r="R162" s="58"/>
      <c r="S162" s="58"/>
      <c r="T162" s="58"/>
      <c r="U162" s="58"/>
      <c r="V162" s="498"/>
    </row>
    <row r="163" spans="1:22" s="1" customFormat="1" ht="12.75" customHeight="1">
      <c r="A163" s="57"/>
      <c r="B163" s="57"/>
      <c r="C163" s="1384" t="s">
        <v>84</v>
      </c>
      <c r="D163" s="1385"/>
      <c r="E163" s="1385"/>
      <c r="F163" s="1385"/>
      <c r="G163" s="1386"/>
      <c r="H163" s="461">
        <f>SUMIF(G8:G149,"SB(L)",H8:H149)</f>
        <v>456.1</v>
      </c>
      <c r="I163" s="450">
        <f>SUMIF(G8:G149,"SB(L)",I8:I149)</f>
        <v>456.1</v>
      </c>
      <c r="J163" s="418">
        <f>SUMIF(G8:G149,"SB(L)",J8:J149)</f>
        <v>0</v>
      </c>
      <c r="K163" s="461">
        <f>SUMIF(G23:G151,"SB(L)",K23:K151)</f>
        <v>0</v>
      </c>
      <c r="L163" s="450">
        <f>SUMIF(G23:G149,"SB(L)",L23:L149)</f>
        <v>0</v>
      </c>
      <c r="M163" s="418">
        <f>SUMIF(G23:G151,"SB(L)",M23:M151)</f>
        <v>0</v>
      </c>
      <c r="N163" s="461">
        <f>SUMIF(G23:G147,"SB(L)",N23:N147)</f>
        <v>0</v>
      </c>
      <c r="O163" s="450">
        <f>SUMIF(G23:G147,"SB(L)",O23:O147)</f>
        <v>0</v>
      </c>
      <c r="P163" s="418">
        <f>SUMIF(G23:G147,"SB(L)",P23:P147)</f>
        <v>0</v>
      </c>
      <c r="Q163" s="57"/>
      <c r="R163" s="58"/>
      <c r="S163" s="58"/>
      <c r="T163" s="58"/>
      <c r="U163" s="58"/>
      <c r="V163" s="498"/>
    </row>
    <row r="164" spans="1:22" s="1" customFormat="1" ht="12.75" customHeight="1">
      <c r="A164" s="57"/>
      <c r="B164" s="57"/>
      <c r="C164" s="1384" t="s">
        <v>85</v>
      </c>
      <c r="D164" s="1385"/>
      <c r="E164" s="1385"/>
      <c r="F164" s="1385"/>
      <c r="G164" s="1386"/>
      <c r="H164" s="461">
        <f>SUMIF(G9:G149,"SB(SPL)",H9:H149)</f>
        <v>158.5</v>
      </c>
      <c r="I164" s="450">
        <f>SUMIF(G9:G149,"SB(SPL)",I9:I149)</f>
        <v>158.5</v>
      </c>
      <c r="J164" s="418">
        <f>SUMIF(G9:G149,"SB(SPL)",J9:J149)</f>
        <v>0</v>
      </c>
      <c r="K164" s="461">
        <f>SUMIF(G22:G149,"SB(SPL)",K22:K149)</f>
        <v>0</v>
      </c>
      <c r="L164" s="450">
        <f>SUMIF(G22:G149,"SB(SPL)",L22:L149)</f>
        <v>0</v>
      </c>
      <c r="M164" s="418">
        <f>SUMIF(G22:G149,"SB(SPL)",M22:M149)</f>
        <v>0</v>
      </c>
      <c r="N164" s="461">
        <f>SUMIF(G22:G149,"SB(SPL)",N22:N149)</f>
        <v>0</v>
      </c>
      <c r="O164" s="450">
        <f>SUMIF(G22:G149,"SB(SPL)",O22:O149)</f>
        <v>0</v>
      </c>
      <c r="P164" s="418">
        <f>SUMIF(G22:G149,"SB(SPL)",P22:P149)</f>
        <v>0</v>
      </c>
      <c r="Q164" s="57"/>
      <c r="R164" s="58"/>
      <c r="S164" s="58"/>
      <c r="T164" s="58"/>
      <c r="U164" s="58"/>
      <c r="V164" s="498"/>
    </row>
    <row r="165" spans="1:22" s="1" customFormat="1" ht="12.75" customHeight="1">
      <c r="A165" s="57"/>
      <c r="B165" s="57"/>
      <c r="C165" s="1384" t="s">
        <v>86</v>
      </c>
      <c r="D165" s="1385"/>
      <c r="E165" s="1385"/>
      <c r="F165" s="1385"/>
      <c r="G165" s="1386"/>
      <c r="H165" s="461">
        <f>SUMIF(G9:G149,"SB(VRL)",H9:H149)</f>
        <v>22.3</v>
      </c>
      <c r="I165" s="450">
        <f>SUMIF(G9:G149,"SB(VRL)",I9:I149)</f>
        <v>22.3</v>
      </c>
      <c r="J165" s="418">
        <f>SUMIF(G9:G149,"SB(VRL)",J9:J149)</f>
        <v>0</v>
      </c>
      <c r="K165" s="461">
        <f>SUMIF(G10:G149,"SB(VRL)",K9:K149)</f>
        <v>0</v>
      </c>
      <c r="L165" s="450">
        <f>SUMIF(G9:G149,"SB(VRL)",L9:L149)</f>
        <v>0</v>
      </c>
      <c r="M165" s="418">
        <f>SUMIF(G9:G149,"SB(VRL)",M9:M149)</f>
        <v>0</v>
      </c>
      <c r="N165" s="461">
        <f>SUMIF(G9:G149,"SB(VRL)",N9:N149)</f>
        <v>0</v>
      </c>
      <c r="O165" s="450">
        <f>SUMIF(G9:G149,"SB(VRL)",O9:O149)</f>
        <v>0</v>
      </c>
      <c r="P165" s="418">
        <f>SUMIF(G9:G149,"SB(VRL)",P9:P149)</f>
        <v>0</v>
      </c>
      <c r="Q165" s="57"/>
      <c r="R165" s="58"/>
      <c r="S165" s="58"/>
      <c r="T165" s="58"/>
      <c r="U165" s="58"/>
      <c r="V165" s="498"/>
    </row>
    <row r="166" spans="1:22" s="1" customFormat="1" ht="13.5" customHeight="1">
      <c r="A166" s="57"/>
      <c r="B166" s="57"/>
      <c r="C166" s="1384" t="s">
        <v>92</v>
      </c>
      <c r="D166" s="1385"/>
      <c r="E166" s="1385"/>
      <c r="F166" s="1385"/>
      <c r="G166" s="1386"/>
      <c r="H166" s="461">
        <f>SUMIF(G9:G149,"SB(ŽPL)",H9:H149)</f>
        <v>0</v>
      </c>
      <c r="I166" s="450">
        <f>SUMIF(G9:G149,"SB(ŽPL)",I9:I149)</f>
        <v>0</v>
      </c>
      <c r="J166" s="418">
        <f>SUMIF(G9:G149,"SB(ŽPL)",J9:J149)</f>
        <v>0</v>
      </c>
      <c r="K166" s="461">
        <f>SUMIF(G23:G149,"SB(ŽPL)",K23:K149)</f>
        <v>0</v>
      </c>
      <c r="L166" s="450">
        <f>SUMIF(G23:G149,"SB(ŽPL)",L23:L149)</f>
        <v>0</v>
      </c>
      <c r="M166" s="418">
        <f>SUMIF(G23:G149,"SB(ŽPL)",M23:M149)</f>
        <v>0</v>
      </c>
      <c r="N166" s="461">
        <f>SUMIF(G23:G149,"SB(ŽPL)",N23:N149)</f>
        <v>0</v>
      </c>
      <c r="O166" s="450">
        <f>SUMIF(G23:G149,"SB(ŽPL)",O23:O149)</f>
        <v>0</v>
      </c>
      <c r="P166" s="418">
        <f>SUMIF(G23:G149,"SB(ŽPL)",P23:P149)</f>
        <v>0</v>
      </c>
      <c r="Q166" s="57"/>
      <c r="R166" s="58"/>
      <c r="S166" s="58"/>
      <c r="T166" s="58"/>
      <c r="U166" s="58"/>
      <c r="V166" s="498"/>
    </row>
    <row r="167" spans="1:22" s="1" customFormat="1" ht="12.75" customHeight="1">
      <c r="A167" s="260"/>
      <c r="B167" s="260"/>
      <c r="C167" s="1387" t="s">
        <v>87</v>
      </c>
      <c r="D167" s="1388"/>
      <c r="E167" s="1388"/>
      <c r="F167" s="1388"/>
      <c r="G167" s="1389"/>
      <c r="H167" s="385">
        <f t="shared" ref="H167:P167" si="56">H169+H168</f>
        <v>165</v>
      </c>
      <c r="I167" s="451">
        <f t="shared" si="56"/>
        <v>165</v>
      </c>
      <c r="J167" s="444">
        <f t="shared" si="56"/>
        <v>0</v>
      </c>
      <c r="K167" s="385">
        <f t="shared" si="56"/>
        <v>168.4</v>
      </c>
      <c r="L167" s="451">
        <f t="shared" si="56"/>
        <v>168.4</v>
      </c>
      <c r="M167" s="444">
        <f t="shared" si="56"/>
        <v>0</v>
      </c>
      <c r="N167" s="385">
        <f t="shared" si="56"/>
        <v>113.8</v>
      </c>
      <c r="O167" s="451">
        <f t="shared" si="56"/>
        <v>113.8</v>
      </c>
      <c r="P167" s="444">
        <f t="shared" si="56"/>
        <v>0</v>
      </c>
      <c r="Q167" s="57"/>
      <c r="R167" s="58"/>
      <c r="S167" s="58"/>
      <c r="T167" s="58"/>
      <c r="U167" s="58"/>
      <c r="V167" s="498"/>
    </row>
    <row r="168" spans="1:22" s="48" customFormat="1">
      <c r="A168" s="417"/>
      <c r="B168" s="365"/>
      <c r="C168" s="1390" t="s">
        <v>141</v>
      </c>
      <c r="D168" s="1391"/>
      <c r="E168" s="1391"/>
      <c r="F168" s="1391"/>
      <c r="G168" s="1392"/>
      <c r="H168" s="460">
        <f>SUMIF(G7:G149,"ES",H7:H149)</f>
        <v>165</v>
      </c>
      <c r="I168" s="448">
        <f>SUMIF(G7:G149,"ES",I7:I149)</f>
        <v>165</v>
      </c>
      <c r="J168" s="416">
        <f>SUMIF(G7:G149,"ES",J7:J149)</f>
        <v>0</v>
      </c>
      <c r="K168" s="460">
        <f>SUMIF(G43:G149,"ES",K43:K149)</f>
        <v>168.4</v>
      </c>
      <c r="L168" s="448">
        <f>SUMIF(G43:G149,"ES",L43:L149)</f>
        <v>168.4</v>
      </c>
      <c r="M168" s="416">
        <f>SUMIF(G43:G149,"ES",M43:M149)</f>
        <v>0</v>
      </c>
      <c r="N168" s="460">
        <f>SUMIF(G43:G148,"ES",N43:N148)</f>
        <v>113.8</v>
      </c>
      <c r="O168" s="448">
        <f>SUMIF(G43:G148,"ES",O43:O148)</f>
        <v>113.8</v>
      </c>
      <c r="P168" s="416">
        <f>SUMIF(G43:G148,"ES",P43:P148)</f>
        <v>0</v>
      </c>
      <c r="Q168" s="260"/>
      <c r="R168" s="57"/>
      <c r="S168" s="57"/>
      <c r="T168" s="57"/>
      <c r="U168" s="57"/>
      <c r="V168" s="499"/>
    </row>
    <row r="169" spans="1:22" s="1" customFormat="1" ht="16.5" customHeight="1">
      <c r="A169" s="260"/>
      <c r="B169" s="260"/>
      <c r="C169" s="1393" t="s">
        <v>88</v>
      </c>
      <c r="D169" s="1394"/>
      <c r="E169" s="1394"/>
      <c r="F169" s="1394"/>
      <c r="G169" s="1395"/>
      <c r="H169" s="460">
        <f>SUMIF(G15:G149,"LRVB",H15:H149)</f>
        <v>0</v>
      </c>
      <c r="I169" s="448">
        <f>SUMIF(G15:G149,"LRVB",I15:I149)</f>
        <v>0</v>
      </c>
      <c r="J169" s="416">
        <f>SUMIF(G15:G149,"LRVB",J15:J149)</f>
        <v>0</v>
      </c>
      <c r="K169" s="460">
        <f>SUMIF(G15:G149,"LRVB",K15:K149)</f>
        <v>0</v>
      </c>
      <c r="L169" s="448">
        <f>SUMIF(G15:G149,"LRVB",L15:L149)</f>
        <v>0</v>
      </c>
      <c r="M169" s="416">
        <f>SUMIF(G15:G149,"LRVB",M15:M149)</f>
        <v>0</v>
      </c>
      <c r="N169" s="460">
        <f>SUMIF(G15:G149,"LRVB",N15:N149)</f>
        <v>0</v>
      </c>
      <c r="O169" s="448">
        <f>SUMIF(G15:G149,"LRVB",O15:O149)</f>
        <v>0</v>
      </c>
      <c r="P169" s="416">
        <f>SUMIF(G15:G149,"LRVB",P15:P149)</f>
        <v>0</v>
      </c>
      <c r="Q169" s="260"/>
      <c r="R169" s="58"/>
      <c r="S169" s="58"/>
      <c r="T169" s="58"/>
      <c r="U169" s="58"/>
      <c r="V169" s="498"/>
    </row>
    <row r="170" spans="1:22" s="1" customFormat="1" ht="13.5" customHeight="1" thickBot="1">
      <c r="A170" s="260"/>
      <c r="B170" s="260"/>
      <c r="C170" s="1371" t="s">
        <v>89</v>
      </c>
      <c r="D170" s="1372"/>
      <c r="E170" s="1372"/>
      <c r="F170" s="1372"/>
      <c r="G170" s="1373"/>
      <c r="H170" s="386">
        <f t="shared" ref="H170:P170" si="57">H167+H154</f>
        <v>15241</v>
      </c>
      <c r="I170" s="452">
        <f t="shared" si="57"/>
        <v>15141</v>
      </c>
      <c r="J170" s="677">
        <f t="shared" si="57"/>
        <v>-100</v>
      </c>
      <c r="K170" s="386">
        <f t="shared" si="57"/>
        <v>15452</v>
      </c>
      <c r="L170" s="452">
        <f t="shared" si="57"/>
        <v>15452</v>
      </c>
      <c r="M170" s="677">
        <f t="shared" si="57"/>
        <v>0</v>
      </c>
      <c r="N170" s="386">
        <f t="shared" si="57"/>
        <v>12571.3</v>
      </c>
      <c r="O170" s="452">
        <f t="shared" si="57"/>
        <v>12571.3</v>
      </c>
      <c r="P170" s="677">
        <f t="shared" si="57"/>
        <v>0</v>
      </c>
      <c r="Q170" s="260"/>
      <c r="R170" s="58"/>
      <c r="S170" s="58"/>
      <c r="T170" s="58"/>
      <c r="U170" s="58"/>
      <c r="V170" s="498"/>
    </row>
    <row r="171" spans="1:22" s="60" customFormat="1" ht="11.25">
      <c r="A171" s="59"/>
      <c r="B171" s="59"/>
      <c r="C171" s="59"/>
      <c r="D171" s="59"/>
      <c r="E171" s="59"/>
      <c r="F171" s="59"/>
      <c r="G171" s="59"/>
      <c r="H171" s="67"/>
      <c r="I171" s="67"/>
      <c r="J171" s="67"/>
      <c r="K171" s="67"/>
      <c r="L171" s="67"/>
      <c r="M171" s="67"/>
      <c r="N171" s="67"/>
      <c r="O171" s="67"/>
      <c r="P171" s="67"/>
      <c r="Q171" s="82"/>
      <c r="R171" s="59"/>
      <c r="S171" s="59"/>
      <c r="T171" s="59"/>
      <c r="U171" s="59"/>
      <c r="V171" s="507"/>
    </row>
    <row r="172" spans="1:22" s="60" customFormat="1" ht="12.75">
      <c r="A172" s="59"/>
      <c r="B172" s="59"/>
      <c r="C172" s="59"/>
      <c r="D172" s="57"/>
      <c r="E172" s="1374" t="s">
        <v>214</v>
      </c>
      <c r="F172" s="1374"/>
      <c r="G172" s="1374"/>
      <c r="H172" s="1374"/>
      <c r="I172" s="1374"/>
      <c r="J172" s="1374"/>
      <c r="K172" s="1374"/>
      <c r="L172" s="1374"/>
      <c r="M172" s="1374"/>
      <c r="N172" s="1374"/>
      <c r="O172" s="1374"/>
      <c r="P172" s="1374"/>
      <c r="Q172" s="82"/>
      <c r="R172" s="62"/>
      <c r="S172" s="62"/>
      <c r="T172" s="62"/>
      <c r="U172" s="62"/>
      <c r="V172" s="507"/>
    </row>
    <row r="173" spans="1:22" s="60" customFormat="1" ht="12.75">
      <c r="A173" s="59"/>
      <c r="B173" s="59"/>
      <c r="C173" s="59"/>
      <c r="D173" s="57"/>
      <c r="E173" s="61"/>
      <c r="F173" s="62"/>
      <c r="G173" s="59"/>
      <c r="H173" s="59"/>
      <c r="I173" s="59"/>
      <c r="J173" s="59"/>
      <c r="K173" s="59"/>
      <c r="L173" s="59"/>
      <c r="M173" s="59"/>
      <c r="N173" s="59"/>
      <c r="O173" s="59"/>
      <c r="P173" s="59"/>
      <c r="Q173" s="59"/>
      <c r="R173" s="62"/>
      <c r="S173" s="62"/>
      <c r="T173" s="62"/>
      <c r="U173" s="62"/>
      <c r="V173" s="507"/>
    </row>
    <row r="174" spans="1:22">
      <c r="H174" s="80"/>
      <c r="I174" s="80"/>
      <c r="J174" s="80"/>
      <c r="K174" s="80"/>
      <c r="L174" s="80"/>
      <c r="M174" s="80"/>
      <c r="N174" s="80"/>
      <c r="O174" s="80"/>
      <c r="P174" s="80"/>
    </row>
    <row r="175" spans="1:22">
      <c r="H175" s="80"/>
      <c r="I175" s="80"/>
      <c r="J175" s="80"/>
      <c r="K175" s="80"/>
      <c r="L175" s="80"/>
      <c r="M175" s="80"/>
      <c r="N175" s="80"/>
      <c r="O175" s="80"/>
      <c r="P175" s="80"/>
    </row>
    <row r="176" spans="1:22">
      <c r="H176" s="136"/>
      <c r="I176" s="136"/>
      <c r="J176" s="136"/>
      <c r="K176" s="136"/>
      <c r="L176" s="136"/>
      <c r="M176" s="136"/>
      <c r="N176" s="136"/>
      <c r="O176" s="136"/>
      <c r="P176" s="136"/>
    </row>
  </sheetData>
  <mergeCells count="176">
    <mergeCell ref="U33:U35"/>
    <mergeCell ref="P8:P10"/>
    <mergeCell ref="Q9:Q10"/>
    <mergeCell ref="D4:Q4"/>
    <mergeCell ref="D5:Q5"/>
    <mergeCell ref="Q7:U7"/>
    <mergeCell ref="A11:U11"/>
    <mergeCell ref="A12:U12"/>
    <mergeCell ref="B13:U13"/>
    <mergeCell ref="C14:U14"/>
    <mergeCell ref="A8:A10"/>
    <mergeCell ref="B8:B10"/>
    <mergeCell ref="C8:C10"/>
    <mergeCell ref="D8:D10"/>
    <mergeCell ref="E8:E10"/>
    <mergeCell ref="F8:F10"/>
    <mergeCell ref="G8:G10"/>
    <mergeCell ref="I8:I10"/>
    <mergeCell ref="M8:M10"/>
    <mergeCell ref="A36:A38"/>
    <mergeCell ref="B36:B38"/>
    <mergeCell ref="C36:C38"/>
    <mergeCell ref="D36:D37"/>
    <mergeCell ref="E36:E38"/>
    <mergeCell ref="F36:F38"/>
    <mergeCell ref="S26:S27"/>
    <mergeCell ref="U26:U27"/>
    <mergeCell ref="A33:A35"/>
    <mergeCell ref="B33:B35"/>
    <mergeCell ref="C33:C35"/>
    <mergeCell ref="D33:D35"/>
    <mergeCell ref="E33:E35"/>
    <mergeCell ref="F33:F35"/>
    <mergeCell ref="Q33:Q35"/>
    <mergeCell ref="T26:T27"/>
    <mergeCell ref="T33:T35"/>
    <mergeCell ref="D15:D29"/>
    <mergeCell ref="A23:A24"/>
    <mergeCell ref="B23:B24"/>
    <mergeCell ref="C23:C24"/>
    <mergeCell ref="Q26:Q27"/>
    <mergeCell ref="R26:R27"/>
    <mergeCell ref="S33:S35"/>
    <mergeCell ref="S39:S41"/>
    <mergeCell ref="T39:T41"/>
    <mergeCell ref="A42:A43"/>
    <mergeCell ref="B42:B43"/>
    <mergeCell ref="C42:C43"/>
    <mergeCell ref="D42:D43"/>
    <mergeCell ref="E42:E43"/>
    <mergeCell ref="F42:F43"/>
    <mergeCell ref="A39:A41"/>
    <mergeCell ref="B39:B41"/>
    <mergeCell ref="C39:C41"/>
    <mergeCell ref="D39:D41"/>
    <mergeCell ref="E39:E41"/>
    <mergeCell ref="F39:F41"/>
    <mergeCell ref="A65:A66"/>
    <mergeCell ref="B65:B66"/>
    <mergeCell ref="C65:C66"/>
    <mergeCell ref="D65:D66"/>
    <mergeCell ref="E65:E66"/>
    <mergeCell ref="F65:F66"/>
    <mergeCell ref="D58:D59"/>
    <mergeCell ref="A61:A64"/>
    <mergeCell ref="B61:B64"/>
    <mergeCell ref="C61:C64"/>
    <mergeCell ref="D61:D64"/>
    <mergeCell ref="E61:E64"/>
    <mergeCell ref="D44:D46"/>
    <mergeCell ref="D47:D49"/>
    <mergeCell ref="Q47:Q48"/>
    <mergeCell ref="Q49:Q50"/>
    <mergeCell ref="D51:D53"/>
    <mergeCell ref="D56:D57"/>
    <mergeCell ref="U58:U59"/>
    <mergeCell ref="U61:U64"/>
    <mergeCell ref="Q88:Q89"/>
    <mergeCell ref="F61:F64"/>
    <mergeCell ref="Q61:Q64"/>
    <mergeCell ref="U47:U50"/>
    <mergeCell ref="D78:D79"/>
    <mergeCell ref="D82:D83"/>
    <mergeCell ref="D86:D91"/>
    <mergeCell ref="Q90:Q91"/>
    <mergeCell ref="Q92:Q93"/>
    <mergeCell ref="D67:D70"/>
    <mergeCell ref="D72:D73"/>
    <mergeCell ref="Q72:Q73"/>
    <mergeCell ref="D74:D75"/>
    <mergeCell ref="Q74:Q75"/>
    <mergeCell ref="D76:D77"/>
    <mergeCell ref="D95:D96"/>
    <mergeCell ref="Q95:Q96"/>
    <mergeCell ref="C105:U105"/>
    <mergeCell ref="D106:D107"/>
    <mergeCell ref="E106:E111"/>
    <mergeCell ref="C114:G114"/>
    <mergeCell ref="C115:U115"/>
    <mergeCell ref="F98:F100"/>
    <mergeCell ref="A101:A103"/>
    <mergeCell ref="B101:B103"/>
    <mergeCell ref="C101:C103"/>
    <mergeCell ref="D101:D102"/>
    <mergeCell ref="Q101:Q102"/>
    <mergeCell ref="A98:A100"/>
    <mergeCell ref="B98:B100"/>
    <mergeCell ref="C98:C100"/>
    <mergeCell ref="D98:D100"/>
    <mergeCell ref="E98:E100"/>
    <mergeCell ref="C104:G104"/>
    <mergeCell ref="C127:G127"/>
    <mergeCell ref="C128:U128"/>
    <mergeCell ref="D129:D131"/>
    <mergeCell ref="D132:D134"/>
    <mergeCell ref="D135:D136"/>
    <mergeCell ref="Q135:Q136"/>
    <mergeCell ref="Q119:Q120"/>
    <mergeCell ref="A121:A126"/>
    <mergeCell ref="B121:B126"/>
    <mergeCell ref="C121:C126"/>
    <mergeCell ref="D121:D123"/>
    <mergeCell ref="E121:E123"/>
    <mergeCell ref="A119:A120"/>
    <mergeCell ref="B119:B120"/>
    <mergeCell ref="C119:C120"/>
    <mergeCell ref="D119:D120"/>
    <mergeCell ref="E119:E120"/>
    <mergeCell ref="F119:F120"/>
    <mergeCell ref="D139:D140"/>
    <mergeCell ref="D141:D142"/>
    <mergeCell ref="Q141:Q142"/>
    <mergeCell ref="A144:A146"/>
    <mergeCell ref="B144:B146"/>
    <mergeCell ref="C144:C146"/>
    <mergeCell ref="D144:D146"/>
    <mergeCell ref="E144:E146"/>
    <mergeCell ref="F144:F146"/>
    <mergeCell ref="Q145:Q146"/>
    <mergeCell ref="C163:G163"/>
    <mergeCell ref="C151:G151"/>
    <mergeCell ref="C153:G153"/>
    <mergeCell ref="C154:G154"/>
    <mergeCell ref="C155:G155"/>
    <mergeCell ref="C156:G156"/>
    <mergeCell ref="C157:G157"/>
    <mergeCell ref="C147:G147"/>
    <mergeCell ref="Q147:U147"/>
    <mergeCell ref="B148:G148"/>
    <mergeCell ref="Q148:U148"/>
    <mergeCell ref="B149:G149"/>
    <mergeCell ref="Q149:U149"/>
    <mergeCell ref="U39:U40"/>
    <mergeCell ref="U106:U111"/>
    <mergeCell ref="Q8:T8"/>
    <mergeCell ref="R9:T9"/>
    <mergeCell ref="D6:Q6"/>
    <mergeCell ref="C170:G170"/>
    <mergeCell ref="E172:P172"/>
    <mergeCell ref="H8:H10"/>
    <mergeCell ref="J8:J10"/>
    <mergeCell ref="K8:K10"/>
    <mergeCell ref="L8:L10"/>
    <mergeCell ref="N8:N10"/>
    <mergeCell ref="O8:O10"/>
    <mergeCell ref="C164:G164"/>
    <mergeCell ref="C165:G165"/>
    <mergeCell ref="C166:G166"/>
    <mergeCell ref="C167:G167"/>
    <mergeCell ref="C168:G168"/>
    <mergeCell ref="C169:G169"/>
    <mergeCell ref="C158:G158"/>
    <mergeCell ref="C159:G159"/>
    <mergeCell ref="C160:G160"/>
    <mergeCell ref="C161:G161"/>
    <mergeCell ref="C162:G162"/>
  </mergeCells>
  <printOptions horizontalCentered="1"/>
  <pageMargins left="0.19685039370078741" right="0.19685039370078741" top="0.78740157480314965" bottom="0.19685039370078741" header="0" footer="0"/>
  <pageSetup paperSize="9" scale="65" orientation="landscape" r:id="rId1"/>
  <rowBreaks count="1" manualBreakCount="1">
    <brk id="38"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4"/>
  <sheetViews>
    <sheetView tabSelected="1" zoomScaleNormal="100" zoomScaleSheetLayoutView="100" workbookViewId="0">
      <selection activeCell="T22" sqref="T22"/>
    </sheetView>
  </sheetViews>
  <sheetFormatPr defaultColWidth="9.140625" defaultRowHeight="15"/>
  <cols>
    <col min="1" max="1" width="3" style="79" customWidth="1"/>
    <col min="2" max="2" width="2.7109375" style="79" customWidth="1"/>
    <col min="3" max="3" width="3" style="79" customWidth="1"/>
    <col min="4" max="4" width="33.7109375" style="79" customWidth="1"/>
    <col min="5" max="5" width="4.42578125" style="79" customWidth="1"/>
    <col min="6" max="6" width="9.140625" style="1310"/>
    <col min="7" max="9" width="8.5703125" style="79" customWidth="1"/>
    <col min="10" max="10" width="36.5703125" style="79" customWidth="1"/>
    <col min="11" max="12" width="4.5703125" style="79" customWidth="1"/>
    <col min="13" max="13" width="5.140625" style="79" customWidth="1"/>
    <col min="14" max="14" width="6.85546875" style="79" customWidth="1"/>
    <col min="15" max="15" width="8" style="79" customWidth="1"/>
    <col min="16" max="26" width="9.140625" style="79"/>
    <col min="27" max="27" width="9.28515625" style="79" customWidth="1"/>
    <col min="28" max="16384" width="9.140625" style="79"/>
  </cols>
  <sheetData>
    <row r="1" spans="1:13" ht="15" customHeight="1">
      <c r="C1" s="380"/>
      <c r="J1" s="1627" t="s">
        <v>203</v>
      </c>
      <c r="K1" s="1627"/>
      <c r="L1" s="1627"/>
      <c r="M1" s="1627"/>
    </row>
    <row r="2" spans="1:13" ht="15" customHeight="1">
      <c r="C2" s="380"/>
      <c r="J2" s="1627" t="s">
        <v>204</v>
      </c>
      <c r="K2" s="1627"/>
      <c r="L2" s="1627"/>
      <c r="M2" s="1627"/>
    </row>
    <row r="3" spans="1:13" ht="15" customHeight="1">
      <c r="C3" s="380"/>
      <c r="J3" s="1270" t="s">
        <v>205</v>
      </c>
      <c r="K3" s="1270"/>
      <c r="L3" s="1270"/>
      <c r="M3" s="1270"/>
    </row>
    <row r="4" spans="1:13" ht="12.75" customHeight="1">
      <c r="C4" s="380"/>
      <c r="J4" s="532"/>
      <c r="K4" s="532"/>
      <c r="L4" s="532"/>
      <c r="M4" s="532"/>
    </row>
    <row r="5" spans="1:13" ht="14.25" customHeight="1">
      <c r="C5" s="380"/>
      <c r="J5" s="1276"/>
      <c r="K5" s="1277"/>
      <c r="L5" s="1277"/>
      <c r="M5" s="1277"/>
    </row>
    <row r="6" spans="1:13" s="1" customFormat="1" ht="15" customHeight="1">
      <c r="A6" s="1271"/>
      <c r="B6" s="1271"/>
      <c r="C6" s="381"/>
      <c r="D6" s="1593" t="s">
        <v>298</v>
      </c>
      <c r="E6" s="1593"/>
      <c r="F6" s="1593"/>
      <c r="G6" s="1593"/>
      <c r="H6" s="1593"/>
      <c r="I6" s="1593"/>
      <c r="J6" s="1593"/>
      <c r="K6" s="1271"/>
      <c r="L6" s="1271"/>
      <c r="M6" s="1271"/>
    </row>
    <row r="7" spans="1:13" s="1" customFormat="1">
      <c r="A7" s="1271"/>
      <c r="B7" s="1271"/>
      <c r="C7" s="1271"/>
      <c r="D7" s="1594" t="s">
        <v>107</v>
      </c>
      <c r="E7" s="1595"/>
      <c r="F7" s="1595"/>
      <c r="G7" s="1595"/>
      <c r="H7" s="1595"/>
      <c r="I7" s="1595"/>
      <c r="J7" s="1595"/>
      <c r="K7" s="1271"/>
      <c r="L7" s="1271"/>
      <c r="M7" s="1271"/>
    </row>
    <row r="8" spans="1:13" s="1" customFormat="1" ht="15" customHeight="1">
      <c r="A8" s="1272"/>
      <c r="B8" s="1272"/>
      <c r="C8" s="1272"/>
      <c r="D8" s="1369" t="s">
        <v>105</v>
      </c>
      <c r="E8" s="1369"/>
      <c r="F8" s="1369"/>
      <c r="G8" s="1369"/>
      <c r="H8" s="1369"/>
      <c r="I8" s="1369"/>
      <c r="J8" s="1369"/>
      <c r="K8" s="1272"/>
      <c r="L8" s="1272"/>
      <c r="M8" s="1272"/>
    </row>
    <row r="9" spans="1:13" s="1" customFormat="1" ht="13.5" thickBot="1">
      <c r="E9" s="2"/>
      <c r="F9" s="3"/>
      <c r="J9" s="1596" t="s">
        <v>106</v>
      </c>
      <c r="K9" s="1596"/>
      <c r="L9" s="1596"/>
      <c r="M9" s="1596"/>
    </row>
    <row r="10" spans="1:13" s="48" customFormat="1" ht="36.75" customHeight="1">
      <c r="A10" s="1608" t="s">
        <v>0</v>
      </c>
      <c r="B10" s="1611" t="s">
        <v>1</v>
      </c>
      <c r="C10" s="1611" t="s">
        <v>2</v>
      </c>
      <c r="D10" s="1614" t="s">
        <v>4</v>
      </c>
      <c r="E10" s="1617" t="s">
        <v>5</v>
      </c>
      <c r="F10" s="1623" t="s">
        <v>8</v>
      </c>
      <c r="G10" s="1693" t="s">
        <v>229</v>
      </c>
      <c r="H10" s="1693" t="s">
        <v>161</v>
      </c>
      <c r="I10" s="1693" t="s">
        <v>230</v>
      </c>
      <c r="J10" s="1364" t="s">
        <v>9</v>
      </c>
      <c r="K10" s="1365"/>
      <c r="L10" s="1365"/>
      <c r="M10" s="1366"/>
    </row>
    <row r="11" spans="1:13" s="48" customFormat="1" ht="18.75" customHeight="1">
      <c r="A11" s="1609"/>
      <c r="B11" s="1612"/>
      <c r="C11" s="1612"/>
      <c r="D11" s="1615"/>
      <c r="E11" s="1618"/>
      <c r="F11" s="1624"/>
      <c r="G11" s="1694"/>
      <c r="H11" s="1694"/>
      <c r="I11" s="1694"/>
      <c r="J11" s="1591" t="s">
        <v>4</v>
      </c>
      <c r="K11" s="1367" t="s">
        <v>10</v>
      </c>
      <c r="L11" s="1367"/>
      <c r="M11" s="1368"/>
    </row>
    <row r="12" spans="1:13" s="48" customFormat="1" ht="62.25" customHeight="1" thickBot="1">
      <c r="A12" s="1610"/>
      <c r="B12" s="1613"/>
      <c r="C12" s="1613"/>
      <c r="D12" s="1616"/>
      <c r="E12" s="1619"/>
      <c r="F12" s="1625"/>
      <c r="G12" s="1695"/>
      <c r="H12" s="1695"/>
      <c r="I12" s="1695"/>
      <c r="J12" s="1592"/>
      <c r="K12" s="143" t="s">
        <v>128</v>
      </c>
      <c r="L12" s="143" t="s">
        <v>162</v>
      </c>
      <c r="M12" s="144" t="s">
        <v>228</v>
      </c>
    </row>
    <row r="13" spans="1:13" s="1" customFormat="1" ht="15.75" customHeight="1">
      <c r="A13" s="1597"/>
      <c r="B13" s="1598"/>
      <c r="C13" s="1598"/>
      <c r="D13" s="1598"/>
      <c r="E13" s="1598"/>
      <c r="F13" s="1598"/>
      <c r="G13" s="1598"/>
      <c r="H13" s="1598"/>
      <c r="I13" s="1598"/>
      <c r="J13" s="1598"/>
      <c r="K13" s="1598"/>
      <c r="L13" s="1598"/>
      <c r="M13" s="1599"/>
    </row>
    <row r="14" spans="1:13" s="1" customFormat="1" ht="14.25" customHeight="1">
      <c r="A14" s="1600" t="s">
        <v>12</v>
      </c>
      <c r="B14" s="1601"/>
      <c r="C14" s="1601"/>
      <c r="D14" s="1601"/>
      <c r="E14" s="1601"/>
      <c r="F14" s="1601"/>
      <c r="G14" s="1601"/>
      <c r="H14" s="1601"/>
      <c r="I14" s="1601"/>
      <c r="J14" s="1601"/>
      <c r="K14" s="1601"/>
      <c r="L14" s="1601"/>
      <c r="M14" s="1602"/>
    </row>
    <row r="15" spans="1:13" s="1" customFormat="1" ht="14.25" customHeight="1">
      <c r="A15" s="5" t="s">
        <v>13</v>
      </c>
      <c r="B15" s="1603" t="s">
        <v>14</v>
      </c>
      <c r="C15" s="1603"/>
      <c r="D15" s="1603"/>
      <c r="E15" s="1603"/>
      <c r="F15" s="1603"/>
      <c r="G15" s="1603"/>
      <c r="H15" s="1603"/>
      <c r="I15" s="1603"/>
      <c r="J15" s="1603"/>
      <c r="K15" s="1603"/>
      <c r="L15" s="1603"/>
      <c r="M15" s="1604"/>
    </row>
    <row r="16" spans="1:13" s="1" customFormat="1" ht="15.75" customHeight="1">
      <c r="A16" s="6" t="s">
        <v>13</v>
      </c>
      <c r="B16" s="7" t="s">
        <v>13</v>
      </c>
      <c r="C16" s="1605" t="s">
        <v>15</v>
      </c>
      <c r="D16" s="1606"/>
      <c r="E16" s="1606"/>
      <c r="F16" s="1606"/>
      <c r="G16" s="1606"/>
      <c r="H16" s="1606"/>
      <c r="I16" s="1606"/>
      <c r="J16" s="1606"/>
      <c r="K16" s="1606"/>
      <c r="L16" s="1606"/>
      <c r="M16" s="1607"/>
    </row>
    <row r="17" spans="1:20" s="4" customFormat="1" ht="12.75" customHeight="1">
      <c r="A17" s="8" t="s">
        <v>13</v>
      </c>
      <c r="B17" s="9" t="s">
        <v>13</v>
      </c>
      <c r="C17" s="235" t="s">
        <v>13</v>
      </c>
      <c r="D17" s="1628" t="s">
        <v>16</v>
      </c>
      <c r="E17" s="10"/>
      <c r="F17" s="465" t="s">
        <v>19</v>
      </c>
      <c r="G17" s="99">
        <v>9455.7000000000007</v>
      </c>
      <c r="H17" s="99">
        <v>9251.1</v>
      </c>
      <c r="I17" s="99">
        <v>9237.1</v>
      </c>
      <c r="J17" s="403"/>
      <c r="K17" s="538"/>
      <c r="L17" s="537"/>
      <c r="M17" s="208"/>
    </row>
    <row r="18" spans="1:20" s="4" customFormat="1" ht="12.75" customHeight="1">
      <c r="A18" s="534"/>
      <c r="B18" s="9"/>
      <c r="C18" s="535"/>
      <c r="D18" s="1581"/>
      <c r="E18" s="10"/>
      <c r="F18" s="465" t="s">
        <v>40</v>
      </c>
      <c r="G18" s="99">
        <v>10</v>
      </c>
      <c r="H18" s="99">
        <v>0</v>
      </c>
      <c r="I18" s="99">
        <v>0</v>
      </c>
      <c r="J18" s="403"/>
      <c r="K18" s="537"/>
      <c r="L18" s="537"/>
      <c r="M18" s="539"/>
    </row>
    <row r="19" spans="1:20" s="4" customFormat="1" ht="12.75" customHeight="1">
      <c r="A19" s="534"/>
      <c r="B19" s="9"/>
      <c r="C19" s="535"/>
      <c r="D19" s="1221"/>
      <c r="E19" s="10"/>
      <c r="F19" s="465" t="s">
        <v>41</v>
      </c>
      <c r="G19" s="99">
        <v>28.3</v>
      </c>
      <c r="H19" s="99"/>
      <c r="I19" s="99"/>
      <c r="J19" s="403"/>
      <c r="K19" s="537"/>
      <c r="L19" s="537"/>
      <c r="M19" s="539"/>
    </row>
    <row r="20" spans="1:20" s="4" customFormat="1" ht="12.75" customHeight="1">
      <c r="A20" s="534"/>
      <c r="B20" s="9"/>
      <c r="C20" s="535"/>
      <c r="D20" s="1221"/>
      <c r="E20" s="10"/>
      <c r="F20" s="465" t="s">
        <v>20</v>
      </c>
      <c r="G20" s="99">
        <f>582.5-6.8</f>
        <v>575.70000000000005</v>
      </c>
      <c r="H20" s="99">
        <f>582.5-6.8</f>
        <v>575.70000000000005</v>
      </c>
      <c r="I20" s="99">
        <f>582.5-6.8</f>
        <v>575.70000000000005</v>
      </c>
      <c r="J20" s="403"/>
      <c r="K20" s="537"/>
      <c r="L20" s="537"/>
      <c r="M20" s="539"/>
    </row>
    <row r="21" spans="1:20" s="4" customFormat="1" ht="12.75" customHeight="1">
      <c r="A21" s="534"/>
      <c r="B21" s="9"/>
      <c r="C21" s="535"/>
      <c r="D21" s="1221"/>
      <c r="E21" s="10"/>
      <c r="F21" s="19" t="s">
        <v>23</v>
      </c>
      <c r="G21" s="99">
        <v>28.3</v>
      </c>
      <c r="H21" s="99">
        <v>3.3</v>
      </c>
      <c r="I21" s="99">
        <v>3.3</v>
      </c>
      <c r="J21" s="403"/>
      <c r="K21" s="537"/>
      <c r="L21" s="537"/>
      <c r="M21" s="539"/>
    </row>
    <row r="22" spans="1:20" s="4" customFormat="1" ht="15.75" customHeight="1">
      <c r="A22" s="534"/>
      <c r="B22" s="9"/>
      <c r="C22" s="535"/>
      <c r="D22" s="1221"/>
      <c r="E22" s="10"/>
      <c r="F22" s="19" t="s">
        <v>24</v>
      </c>
      <c r="G22" s="99">
        <v>29</v>
      </c>
      <c r="H22" s="99">
        <v>0</v>
      </c>
      <c r="I22" s="99">
        <v>0</v>
      </c>
      <c r="J22" s="403"/>
      <c r="K22" s="537"/>
      <c r="L22" s="537"/>
      <c r="M22" s="539"/>
    </row>
    <row r="23" spans="1:20" s="4" customFormat="1" ht="29.25" customHeight="1">
      <c r="A23" s="11"/>
      <c r="B23" s="12"/>
      <c r="C23" s="533"/>
      <c r="D23" s="1240" t="s">
        <v>17</v>
      </c>
      <c r="E23" s="1292"/>
      <c r="F23" s="680"/>
      <c r="G23" s="1293"/>
      <c r="H23" s="1293"/>
      <c r="I23" s="1293"/>
      <c r="J23" s="1294" t="s">
        <v>109</v>
      </c>
      <c r="K23" s="1295">
        <v>432.5</v>
      </c>
      <c r="L23" s="1295">
        <v>432.5</v>
      </c>
      <c r="M23" s="1296">
        <v>432.5</v>
      </c>
    </row>
    <row r="24" spans="1:20" s="1" customFormat="1" ht="27.75" customHeight="1">
      <c r="A24" s="1481"/>
      <c r="B24" s="1565"/>
      <c r="C24" s="1582"/>
      <c r="D24" s="1513" t="s">
        <v>195</v>
      </c>
      <c r="E24" s="379"/>
      <c r="F24" s="16"/>
      <c r="G24" s="259"/>
      <c r="H24" s="259"/>
      <c r="I24" s="259"/>
      <c r="J24" s="267" t="s">
        <v>240</v>
      </c>
      <c r="K24" s="282">
        <v>4</v>
      </c>
      <c r="L24" s="161">
        <v>4</v>
      </c>
      <c r="M24" s="281">
        <v>4</v>
      </c>
    </row>
    <row r="25" spans="1:20" s="1" customFormat="1" ht="18" customHeight="1">
      <c r="A25" s="1481"/>
      <c r="B25" s="1565"/>
      <c r="C25" s="1582"/>
      <c r="D25" s="1557"/>
      <c r="E25" s="379"/>
      <c r="F25" s="19"/>
      <c r="G25" s="99"/>
      <c r="H25" s="99"/>
      <c r="I25" s="99"/>
      <c r="J25" s="1222" t="s">
        <v>98</v>
      </c>
      <c r="K25" s="284">
        <v>21</v>
      </c>
      <c r="L25" s="794">
        <v>21</v>
      </c>
      <c r="M25" s="276">
        <v>21</v>
      </c>
      <c r="N25" s="1050"/>
      <c r="P25" s="241"/>
      <c r="Q25" s="241"/>
      <c r="R25" s="241"/>
    </row>
    <row r="26" spans="1:20" s="1" customFormat="1" ht="17.25" customHeight="1">
      <c r="A26" s="1224"/>
      <c r="B26" s="1225"/>
      <c r="C26" s="1226"/>
      <c r="D26" s="1557"/>
      <c r="E26" s="354"/>
      <c r="F26" s="19"/>
      <c r="G26" s="99"/>
      <c r="H26" s="99"/>
      <c r="I26" s="99"/>
      <c r="J26" s="1048" t="s">
        <v>224</v>
      </c>
      <c r="K26" s="282">
        <v>45</v>
      </c>
      <c r="L26" s="161">
        <v>50</v>
      </c>
      <c r="M26" s="281">
        <v>50</v>
      </c>
    </row>
    <row r="27" spans="1:20" s="1" customFormat="1" ht="27.75" customHeight="1">
      <c r="A27" s="1224"/>
      <c r="B27" s="1225"/>
      <c r="C27" s="1226"/>
      <c r="D27" s="1557"/>
      <c r="E27" s="354"/>
      <c r="F27" s="19"/>
      <c r="G27" s="99"/>
      <c r="H27" s="99"/>
      <c r="I27" s="99"/>
      <c r="J27" s="1223" t="s">
        <v>165</v>
      </c>
      <c r="K27" s="543" t="s">
        <v>260</v>
      </c>
      <c r="L27" s="1054" t="s">
        <v>260</v>
      </c>
      <c r="M27" s="544" t="s">
        <v>260</v>
      </c>
      <c r="T27" s="3"/>
    </row>
    <row r="28" spans="1:20" s="1" customFormat="1" ht="18.75" customHeight="1">
      <c r="A28" s="1224"/>
      <c r="B28" s="1225"/>
      <c r="C28" s="1226"/>
      <c r="D28" s="1557"/>
      <c r="E28" s="354"/>
      <c r="F28" s="19"/>
      <c r="G28" s="99"/>
      <c r="H28" s="99"/>
      <c r="I28" s="99"/>
      <c r="J28" s="1688" t="s">
        <v>194</v>
      </c>
      <c r="K28" s="1053"/>
      <c r="L28" s="353">
        <v>4</v>
      </c>
      <c r="M28" s="211">
        <v>12</v>
      </c>
    </row>
    <row r="29" spans="1:20" s="1" customFormat="1" ht="21.75" customHeight="1">
      <c r="A29" s="1224"/>
      <c r="B29" s="1225"/>
      <c r="C29" s="1226"/>
      <c r="D29" s="1640"/>
      <c r="E29" s="354"/>
      <c r="F29" s="22"/>
      <c r="G29" s="99"/>
      <c r="H29" s="99"/>
      <c r="I29" s="99"/>
      <c r="J29" s="1689"/>
      <c r="K29" s="282"/>
      <c r="L29" s="161"/>
      <c r="M29" s="281"/>
      <c r="N29" s="241"/>
    </row>
    <row r="30" spans="1:20" s="1" customFormat="1" ht="26.25" customHeight="1">
      <c r="A30" s="23"/>
      <c r="B30" s="1249"/>
      <c r="C30" s="1226"/>
      <c r="D30" s="1436" t="s">
        <v>196</v>
      </c>
      <c r="E30" s="349"/>
      <c r="F30" s="546"/>
      <c r="G30" s="98"/>
      <c r="H30" s="146"/>
      <c r="I30" s="146"/>
      <c r="J30" s="1515" t="s">
        <v>208</v>
      </c>
      <c r="K30" s="1691" t="s">
        <v>166</v>
      </c>
      <c r="L30" s="1680" t="s">
        <v>166</v>
      </c>
      <c r="M30" s="1682" t="s">
        <v>166</v>
      </c>
      <c r="N30" s="1060"/>
    </row>
    <row r="31" spans="1:20" s="1" customFormat="1" ht="17.25" customHeight="1">
      <c r="A31" s="23"/>
      <c r="B31" s="1249"/>
      <c r="C31" s="1226"/>
      <c r="D31" s="1635"/>
      <c r="E31" s="350"/>
      <c r="F31" s="465"/>
      <c r="G31" s="99"/>
      <c r="H31" s="147"/>
      <c r="I31" s="147"/>
      <c r="J31" s="1690"/>
      <c r="K31" s="1692"/>
      <c r="L31" s="1681"/>
      <c r="M31" s="1683"/>
      <c r="N31" s="580"/>
    </row>
    <row r="32" spans="1:20" s="1" customFormat="1" ht="40.5" customHeight="1">
      <c r="A32" s="23"/>
      <c r="B32" s="1249"/>
      <c r="C32" s="1226"/>
      <c r="D32" s="1521"/>
      <c r="E32" s="1281"/>
      <c r="F32" s="101"/>
      <c r="G32" s="103"/>
      <c r="H32" s="148"/>
      <c r="I32" s="148"/>
      <c r="J32" s="1297" t="s">
        <v>136</v>
      </c>
      <c r="K32" s="1298" t="s">
        <v>241</v>
      </c>
      <c r="L32" s="1299" t="s">
        <v>241</v>
      </c>
      <c r="M32" s="1300" t="s">
        <v>241</v>
      </c>
    </row>
    <row r="33" spans="1:14" s="1" customFormat="1" ht="29.25" customHeight="1">
      <c r="A33" s="23"/>
      <c r="B33" s="1249"/>
      <c r="C33" s="1226"/>
      <c r="D33" s="1274" t="s">
        <v>255</v>
      </c>
      <c r="E33" s="991"/>
      <c r="F33" s="465"/>
      <c r="G33" s="99"/>
      <c r="H33" s="147"/>
      <c r="I33" s="147"/>
      <c r="J33" s="1263" t="s">
        <v>257</v>
      </c>
      <c r="K33" s="231" t="s">
        <v>256</v>
      </c>
      <c r="L33" s="1087" t="s">
        <v>269</v>
      </c>
      <c r="M33" s="413" t="s">
        <v>269</v>
      </c>
      <c r="N33" s="1072"/>
    </row>
    <row r="34" spans="1:14" s="1" customFormat="1" ht="28.5" customHeight="1">
      <c r="A34" s="23"/>
      <c r="B34" s="1249"/>
      <c r="C34" s="1226"/>
      <c r="D34" s="1274"/>
      <c r="E34" s="991"/>
      <c r="F34" s="19"/>
      <c r="G34" s="99"/>
      <c r="H34" s="99"/>
      <c r="I34" s="99"/>
      <c r="J34" s="1096" t="s">
        <v>270</v>
      </c>
      <c r="K34" s="472" t="s">
        <v>18</v>
      </c>
      <c r="L34" s="796" t="s">
        <v>18</v>
      </c>
      <c r="M34" s="474" t="s">
        <v>18</v>
      </c>
      <c r="N34" s="1072"/>
    </row>
    <row r="35" spans="1:14" s="1" customFormat="1" ht="15.75" customHeight="1">
      <c r="A35" s="23"/>
      <c r="B35" s="1249"/>
      <c r="C35" s="1226"/>
      <c r="D35" s="960"/>
      <c r="E35" s="992"/>
      <c r="F35" s="101"/>
      <c r="G35" s="103"/>
      <c r="H35" s="148"/>
      <c r="I35" s="148"/>
      <c r="J35" s="205" t="s">
        <v>247</v>
      </c>
      <c r="K35" s="993" t="s">
        <v>248</v>
      </c>
      <c r="L35" s="994" t="s">
        <v>248</v>
      </c>
      <c r="M35" s="514" t="s">
        <v>248</v>
      </c>
      <c r="N35" s="1073"/>
    </row>
    <row r="36" spans="1:14" s="1" customFormat="1" ht="15" customHeight="1">
      <c r="A36" s="1224"/>
      <c r="B36" s="1249"/>
      <c r="C36" s="1238"/>
      <c r="D36" s="1239" t="s">
        <v>26</v>
      </c>
      <c r="E36" s="387"/>
      <c r="F36" s="19"/>
      <c r="G36" s="99"/>
      <c r="H36" s="99"/>
      <c r="I36" s="99"/>
      <c r="J36" s="1241" t="s">
        <v>242</v>
      </c>
      <c r="K36" s="398">
        <v>1</v>
      </c>
      <c r="L36" s="1284"/>
      <c r="M36" s="1246"/>
    </row>
    <row r="37" spans="1:14" s="1" customFormat="1" ht="30.75" customHeight="1">
      <c r="A37" s="1224"/>
      <c r="B37" s="1249"/>
      <c r="C37" s="1238"/>
      <c r="D37" s="1513" t="s">
        <v>135</v>
      </c>
      <c r="E37" s="1302" t="s">
        <v>299</v>
      </c>
      <c r="F37" s="25"/>
      <c r="G37" s="98"/>
      <c r="H37" s="98"/>
      <c r="I37" s="98"/>
      <c r="J37" s="1273" t="s">
        <v>245</v>
      </c>
      <c r="K37" s="946" t="s">
        <v>243</v>
      </c>
      <c r="L37" s="945" t="s">
        <v>244</v>
      </c>
      <c r="M37" s="947" t="s">
        <v>243</v>
      </c>
    </row>
    <row r="38" spans="1:14" s="1" customFormat="1" ht="23.25" customHeight="1">
      <c r="A38" s="1224"/>
      <c r="B38" s="1225"/>
      <c r="C38" s="1238"/>
      <c r="D38" s="1684"/>
      <c r="E38" s="1301"/>
      <c r="F38" s="19"/>
      <c r="G38" s="103"/>
      <c r="H38" s="99"/>
      <c r="I38" s="99"/>
      <c r="J38" s="948"/>
      <c r="K38" s="950"/>
      <c r="L38" s="951"/>
      <c r="M38" s="952"/>
    </row>
    <row r="39" spans="1:14" s="1" customFormat="1" ht="17.25" customHeight="1">
      <c r="A39" s="1481"/>
      <c r="B39" s="1565"/>
      <c r="C39" s="1499"/>
      <c r="D39" s="1513" t="s">
        <v>122</v>
      </c>
      <c r="E39" s="1685"/>
      <c r="F39" s="25"/>
      <c r="G39" s="98"/>
      <c r="H39" s="98"/>
      <c r="I39" s="98"/>
      <c r="J39" s="528" t="s">
        <v>31</v>
      </c>
      <c r="K39" s="285"/>
      <c r="L39" s="795">
        <v>1</v>
      </c>
      <c r="M39" s="275"/>
    </row>
    <row r="40" spans="1:14" s="1" customFormat="1" ht="28.5" customHeight="1">
      <c r="A40" s="1481"/>
      <c r="B40" s="1565"/>
      <c r="C40" s="1499"/>
      <c r="D40" s="1530"/>
      <c r="E40" s="1686"/>
      <c r="F40" s="19"/>
      <c r="G40" s="99"/>
      <c r="H40" s="99"/>
      <c r="I40" s="99"/>
      <c r="J40" s="94" t="s">
        <v>129</v>
      </c>
      <c r="K40" s="473" t="s">
        <v>169</v>
      </c>
      <c r="L40" s="796" t="s">
        <v>169</v>
      </c>
      <c r="M40" s="474" t="s">
        <v>169</v>
      </c>
    </row>
    <row r="41" spans="1:14" s="1" customFormat="1" ht="31.5" customHeight="1">
      <c r="A41" s="1481"/>
      <c r="B41" s="1565"/>
      <c r="C41" s="1499"/>
      <c r="D41" s="1545"/>
      <c r="E41" s="1687"/>
      <c r="F41" s="22"/>
      <c r="G41" s="103"/>
      <c r="H41" s="103"/>
      <c r="I41" s="103"/>
      <c r="J41" s="93"/>
      <c r="K41" s="955"/>
      <c r="L41" s="797"/>
      <c r="M41" s="277"/>
    </row>
    <row r="42" spans="1:14" s="1" customFormat="1" ht="19.5" customHeight="1">
      <c r="A42" s="1224"/>
      <c r="B42" s="1225"/>
      <c r="C42" s="1226"/>
      <c r="D42" s="1557" t="s">
        <v>145</v>
      </c>
      <c r="E42" s="1280"/>
      <c r="F42" s="19"/>
      <c r="G42" s="99"/>
      <c r="H42" s="99"/>
      <c r="I42" s="99"/>
      <c r="J42" s="419" t="s">
        <v>34</v>
      </c>
      <c r="K42" s="406">
        <v>130</v>
      </c>
      <c r="L42" s="798">
        <v>130</v>
      </c>
      <c r="M42" s="278">
        <v>130</v>
      </c>
    </row>
    <row r="43" spans="1:14" s="1" customFormat="1" ht="21.75" customHeight="1">
      <c r="A43" s="1224"/>
      <c r="B43" s="1225"/>
      <c r="C43" s="1226"/>
      <c r="D43" s="1521"/>
      <c r="E43" s="20"/>
      <c r="F43" s="19"/>
      <c r="G43" s="102"/>
      <c r="H43" s="102"/>
      <c r="I43" s="102"/>
      <c r="J43" s="956"/>
      <c r="K43" s="757"/>
      <c r="L43" s="799"/>
      <c r="M43" s="279"/>
    </row>
    <row r="44" spans="1:14" s="1" customFormat="1" ht="27.75" customHeight="1">
      <c r="A44" s="1224"/>
      <c r="B44" s="1249"/>
      <c r="C44" s="1238"/>
      <c r="D44" s="1513" t="s">
        <v>37</v>
      </c>
      <c r="E44" s="68"/>
      <c r="F44" s="25"/>
      <c r="G44" s="98"/>
      <c r="H44" s="98"/>
      <c r="I44" s="98"/>
      <c r="J44" s="1256" t="s">
        <v>38</v>
      </c>
      <c r="K44" s="228">
        <v>20</v>
      </c>
      <c r="L44" s="164">
        <v>20</v>
      </c>
      <c r="M44" s="192">
        <v>20</v>
      </c>
    </row>
    <row r="45" spans="1:14" s="1" customFormat="1" ht="15" customHeight="1">
      <c r="A45" s="23"/>
      <c r="B45" s="1249"/>
      <c r="C45" s="1238"/>
      <c r="D45" s="1545"/>
      <c r="E45" s="21"/>
      <c r="F45" s="22"/>
      <c r="G45" s="103"/>
      <c r="H45" s="103"/>
      <c r="I45" s="103"/>
      <c r="J45" s="496"/>
      <c r="K45" s="24"/>
      <c r="L45" s="162"/>
      <c r="M45" s="193"/>
    </row>
    <row r="46" spans="1:14" s="1" customFormat="1" ht="11.25" customHeight="1">
      <c r="A46" s="23"/>
      <c r="B46" s="1225"/>
      <c r="C46" s="1226"/>
      <c r="D46" s="1513" t="s">
        <v>300</v>
      </c>
      <c r="E46" s="68"/>
      <c r="F46" s="359"/>
      <c r="G46" s="98"/>
      <c r="H46" s="98"/>
      <c r="I46" s="98"/>
      <c r="J46" s="1515" t="s">
        <v>303</v>
      </c>
      <c r="K46" s="228">
        <v>55</v>
      </c>
      <c r="L46" s="164">
        <v>55</v>
      </c>
      <c r="M46" s="192">
        <v>55</v>
      </c>
    </row>
    <row r="47" spans="1:14" s="1" customFormat="1" ht="15.75" customHeight="1">
      <c r="A47" s="23"/>
      <c r="B47" s="1225"/>
      <c r="C47" s="1226"/>
      <c r="D47" s="1640"/>
      <c r="E47" s="21"/>
      <c r="F47" s="115"/>
      <c r="G47" s="103"/>
      <c r="H47" s="103"/>
      <c r="I47" s="103"/>
      <c r="J47" s="1520"/>
      <c r="K47" s="24"/>
      <c r="L47" s="162"/>
      <c r="M47" s="193"/>
    </row>
    <row r="48" spans="1:14" s="1" customFormat="1" ht="41.25" customHeight="1">
      <c r="A48" s="23"/>
      <c r="B48" s="1225"/>
      <c r="C48" s="1226"/>
      <c r="D48" s="1253" t="s">
        <v>146</v>
      </c>
      <c r="E48" s="957"/>
      <c r="F48" s="115"/>
      <c r="G48" s="1286"/>
      <c r="H48" s="1286"/>
      <c r="I48" s="1286"/>
      <c r="J48" s="367" t="s">
        <v>304</v>
      </c>
      <c r="K48" s="369"/>
      <c r="L48" s="801">
        <v>1</v>
      </c>
      <c r="M48" s="370"/>
    </row>
    <row r="49" spans="1:14" s="1" customFormat="1" ht="15.75" customHeight="1" thickBot="1">
      <c r="A49" s="23"/>
      <c r="B49" s="1225"/>
      <c r="C49" s="1226"/>
      <c r="D49" s="1303"/>
      <c r="E49" s="1306"/>
      <c r="F49" s="1311" t="s">
        <v>47</v>
      </c>
      <c r="G49" s="270">
        <f>SUM(G17:G48)</f>
        <v>10127</v>
      </c>
      <c r="H49" s="270">
        <f>SUM(H17:H48)</f>
        <v>9830.1</v>
      </c>
      <c r="I49" s="270">
        <f t="shared" ref="I49" si="0">SUM(I17:I48)</f>
        <v>9816.1</v>
      </c>
      <c r="J49" s="1228"/>
      <c r="K49" s="533"/>
      <c r="L49" s="1304"/>
      <c r="M49" s="1305"/>
    </row>
    <row r="50" spans="1:14" s="1" customFormat="1" ht="18" customHeight="1">
      <c r="A50" s="1494" t="s">
        <v>13</v>
      </c>
      <c r="B50" s="1677" t="s">
        <v>13</v>
      </c>
      <c r="C50" s="1503" t="s">
        <v>21</v>
      </c>
      <c r="D50" s="1550" t="s">
        <v>45</v>
      </c>
      <c r="E50" s="1508"/>
      <c r="F50" s="261" t="s">
        <v>19</v>
      </c>
      <c r="G50" s="134">
        <v>246.1</v>
      </c>
      <c r="H50" s="134">
        <v>246.1</v>
      </c>
      <c r="I50" s="134">
        <v>246.1</v>
      </c>
      <c r="J50" s="1501" t="s">
        <v>46</v>
      </c>
      <c r="K50" s="1587">
        <v>9</v>
      </c>
      <c r="L50" s="1674">
        <v>9</v>
      </c>
      <c r="M50" s="1578">
        <v>9</v>
      </c>
    </row>
    <row r="51" spans="1:14" s="1" customFormat="1" ht="12.75" customHeight="1">
      <c r="A51" s="1481"/>
      <c r="B51" s="1678"/>
      <c r="C51" s="1499"/>
      <c r="D51" s="1557"/>
      <c r="E51" s="1509"/>
      <c r="F51" s="22"/>
      <c r="G51" s="103"/>
      <c r="H51" s="802"/>
      <c r="I51" s="103"/>
      <c r="J51" s="1519"/>
      <c r="K51" s="1588"/>
      <c r="L51" s="1675"/>
      <c r="M51" s="1579"/>
    </row>
    <row r="52" spans="1:14" s="1" customFormat="1" ht="16.5" customHeight="1" thickBot="1">
      <c r="A52" s="1495"/>
      <c r="B52" s="1679"/>
      <c r="C52" s="1504"/>
      <c r="D52" s="1551"/>
      <c r="E52" s="1510"/>
      <c r="F52" s="1312" t="s">
        <v>47</v>
      </c>
      <c r="G52" s="105">
        <f t="shared" ref="G52:I52" si="1">SUM(G50:G51)</f>
        <v>246.1</v>
      </c>
      <c r="H52" s="266">
        <f t="shared" si="1"/>
        <v>246.1</v>
      </c>
      <c r="I52" s="105">
        <f t="shared" si="1"/>
        <v>246.1</v>
      </c>
      <c r="J52" s="455"/>
      <c r="K52" s="1589"/>
      <c r="L52" s="1676"/>
      <c r="M52" s="1580"/>
    </row>
    <row r="53" spans="1:14" s="1" customFormat="1" ht="12.75" customHeight="1">
      <c r="A53" s="1494" t="s">
        <v>13</v>
      </c>
      <c r="B53" s="1564" t="s">
        <v>13</v>
      </c>
      <c r="C53" s="1503" t="s">
        <v>25</v>
      </c>
      <c r="D53" s="1550" t="s">
        <v>48</v>
      </c>
      <c r="E53" s="1508"/>
      <c r="F53" s="261" t="s">
        <v>19</v>
      </c>
      <c r="G53" s="134">
        <f>315.2+48.8</f>
        <v>364</v>
      </c>
      <c r="H53" s="134">
        <f t="shared" ref="H53:I53" si="2">315.2+48.8</f>
        <v>364</v>
      </c>
      <c r="I53" s="134">
        <f t="shared" si="2"/>
        <v>364</v>
      </c>
      <c r="J53" s="411" t="s">
        <v>49</v>
      </c>
      <c r="K53" s="1242">
        <v>31</v>
      </c>
      <c r="L53" s="1283">
        <v>31</v>
      </c>
      <c r="M53" s="1245">
        <v>31</v>
      </c>
    </row>
    <row r="54" spans="1:14" s="1" customFormat="1" ht="9.75" customHeight="1">
      <c r="A54" s="1481"/>
      <c r="B54" s="1565"/>
      <c r="C54" s="1499"/>
      <c r="D54" s="1557"/>
      <c r="E54" s="1509"/>
      <c r="F54" s="1307"/>
      <c r="G54" s="103"/>
      <c r="H54" s="802"/>
      <c r="I54" s="103"/>
      <c r="J54" s="1241"/>
      <c r="K54" s="1243"/>
      <c r="L54" s="1284"/>
      <c r="M54" s="1246"/>
      <c r="N54" s="580"/>
    </row>
    <row r="55" spans="1:14" s="1" customFormat="1" ht="18" customHeight="1" thickBot="1">
      <c r="A55" s="1495"/>
      <c r="B55" s="1570"/>
      <c r="C55" s="1504"/>
      <c r="D55" s="1551"/>
      <c r="E55" s="1510"/>
      <c r="F55" s="1312" t="s">
        <v>47</v>
      </c>
      <c r="G55" s="105">
        <f>SUM(G53:G54)</f>
        <v>364</v>
      </c>
      <c r="H55" s="266">
        <f>SUM(H53:H54)</f>
        <v>364</v>
      </c>
      <c r="I55" s="105">
        <f>SUM(I53:I54)</f>
        <v>364</v>
      </c>
      <c r="J55" s="95"/>
      <c r="K55" s="1232"/>
      <c r="L55" s="1288"/>
      <c r="M55" s="1234"/>
    </row>
    <row r="56" spans="1:14" s="1" customFormat="1" ht="12.75" customHeight="1">
      <c r="A56" s="1494" t="s">
        <v>13</v>
      </c>
      <c r="B56" s="1496" t="s">
        <v>13</v>
      </c>
      <c r="C56" s="1503" t="s">
        <v>27</v>
      </c>
      <c r="D56" s="1550" t="s">
        <v>99</v>
      </c>
      <c r="E56" s="1508"/>
      <c r="F56" s="1172" t="s">
        <v>19</v>
      </c>
      <c r="G56" s="134">
        <f>357.6+8.8</f>
        <v>366.40000000000003</v>
      </c>
      <c r="H56" s="202">
        <f>357.6+3.9</f>
        <v>361.5</v>
      </c>
      <c r="I56" s="134">
        <f>357.6+3.9</f>
        <v>361.5</v>
      </c>
      <c r="J56" s="1501" t="s">
        <v>100</v>
      </c>
      <c r="K56" s="1242">
        <v>17</v>
      </c>
      <c r="L56" s="1670">
        <v>17</v>
      </c>
      <c r="M56" s="1561">
        <v>17</v>
      </c>
      <c r="N56" s="1191"/>
    </row>
    <row r="57" spans="1:14" s="1" customFormat="1" ht="12.75" customHeight="1">
      <c r="A57" s="1481"/>
      <c r="B57" s="1482"/>
      <c r="C57" s="1499"/>
      <c r="D57" s="1557"/>
      <c r="E57" s="1509"/>
      <c r="F57" s="114" t="s">
        <v>110</v>
      </c>
      <c r="G57" s="99">
        <v>17.399999999999999</v>
      </c>
      <c r="H57" s="137"/>
      <c r="I57" s="99"/>
      <c r="J57" s="1669"/>
      <c r="K57" s="533"/>
      <c r="L57" s="1671"/>
      <c r="M57" s="1562"/>
    </row>
    <row r="58" spans="1:14" s="1" customFormat="1" ht="27.75" customHeight="1">
      <c r="A58" s="1481"/>
      <c r="B58" s="1482"/>
      <c r="C58" s="1499"/>
      <c r="D58" s="1557"/>
      <c r="E58" s="1509"/>
      <c r="F58" s="115"/>
      <c r="G58" s="103"/>
      <c r="H58" s="802"/>
      <c r="I58" s="103"/>
      <c r="J58" s="1241" t="s">
        <v>226</v>
      </c>
      <c r="K58" s="1243">
        <v>1</v>
      </c>
      <c r="L58" s="1671"/>
      <c r="M58" s="1562"/>
    </row>
    <row r="59" spans="1:14" s="1" customFormat="1" ht="19.5" customHeight="1" thickBot="1">
      <c r="A59" s="1495"/>
      <c r="B59" s="1497"/>
      <c r="C59" s="1504"/>
      <c r="D59" s="1551"/>
      <c r="E59" s="1510"/>
      <c r="F59" s="1312" t="s">
        <v>47</v>
      </c>
      <c r="G59" s="105">
        <f>SUM(G56:G58)</f>
        <v>383.8</v>
      </c>
      <c r="H59" s="804">
        <f>SUM(H56:H58)</f>
        <v>361.5</v>
      </c>
      <c r="I59" s="105">
        <f>SUM(I56:I58)</f>
        <v>361.5</v>
      </c>
      <c r="J59" s="1229"/>
      <c r="K59" s="1212"/>
      <c r="L59" s="1672"/>
      <c r="M59" s="1563"/>
    </row>
    <row r="60" spans="1:14" s="1" customFormat="1" ht="17.25" customHeight="1">
      <c r="A60" s="1494" t="s">
        <v>13</v>
      </c>
      <c r="B60" s="1564" t="s">
        <v>13</v>
      </c>
      <c r="C60" s="1503" t="s">
        <v>29</v>
      </c>
      <c r="D60" s="1550" t="s">
        <v>50</v>
      </c>
      <c r="E60" s="1508"/>
      <c r="F60" s="33" t="s">
        <v>19</v>
      </c>
      <c r="G60" s="97">
        <v>23</v>
      </c>
      <c r="H60" s="145">
        <v>23</v>
      </c>
      <c r="I60" s="106">
        <v>23</v>
      </c>
      <c r="J60" s="287"/>
      <c r="K60" s="1230"/>
      <c r="L60" s="1287"/>
      <c r="M60" s="1233"/>
      <c r="N60" s="1134"/>
    </row>
    <row r="61" spans="1:14" s="1" customFormat="1" ht="15.75" customHeight="1" thickBot="1">
      <c r="A61" s="1495"/>
      <c r="B61" s="1570"/>
      <c r="C61" s="1504"/>
      <c r="D61" s="1673"/>
      <c r="E61" s="1510"/>
      <c r="F61" s="1312" t="s">
        <v>47</v>
      </c>
      <c r="G61" s="107">
        <f t="shared" ref="G61:I61" si="3">SUM(G60:G60)</f>
        <v>23</v>
      </c>
      <c r="H61" s="85">
        <f t="shared" si="3"/>
        <v>23</v>
      </c>
      <c r="I61" s="107">
        <f t="shared" si="3"/>
        <v>23</v>
      </c>
      <c r="J61" s="96"/>
      <c r="K61" s="1244"/>
      <c r="L61" s="1285"/>
      <c r="M61" s="1247"/>
    </row>
    <row r="62" spans="1:14" s="1" customFormat="1" ht="15" customHeight="1">
      <c r="A62" s="1235" t="s">
        <v>13</v>
      </c>
      <c r="B62" s="289" t="s">
        <v>13</v>
      </c>
      <c r="C62" s="382" t="s">
        <v>32</v>
      </c>
      <c r="D62" s="1525" t="s">
        <v>51</v>
      </c>
      <c r="E62" s="408"/>
      <c r="F62" s="261" t="s">
        <v>19</v>
      </c>
      <c r="G62" s="134">
        <f>168.6+29</f>
        <v>197.6</v>
      </c>
      <c r="H62" s="134">
        <f>193+29</f>
        <v>222</v>
      </c>
      <c r="I62" s="134">
        <f>175+29</f>
        <v>204</v>
      </c>
      <c r="J62" s="411"/>
      <c r="K62" s="1242"/>
      <c r="L62" s="1283"/>
      <c r="M62" s="1245"/>
    </row>
    <row r="63" spans="1:14" s="1" customFormat="1" ht="15" customHeight="1">
      <c r="A63" s="1224"/>
      <c r="B63" s="27"/>
      <c r="C63" s="239"/>
      <c r="D63" s="1526"/>
      <c r="E63" s="410"/>
      <c r="F63" s="19" t="s">
        <v>110</v>
      </c>
      <c r="G63" s="99">
        <v>20.3</v>
      </c>
      <c r="H63" s="99">
        <v>0</v>
      </c>
      <c r="I63" s="99">
        <v>0</v>
      </c>
      <c r="J63" s="1241"/>
      <c r="K63" s="1243"/>
      <c r="L63" s="1284"/>
      <c r="M63" s="1246"/>
    </row>
    <row r="64" spans="1:14" s="1" customFormat="1" ht="12" customHeight="1">
      <c r="A64" s="1224"/>
      <c r="B64" s="27"/>
      <c r="C64" s="239"/>
      <c r="D64" s="1513" t="s">
        <v>104</v>
      </c>
      <c r="E64" s="72"/>
      <c r="F64" s="25"/>
      <c r="G64" s="487"/>
      <c r="H64" s="487"/>
      <c r="I64" s="487"/>
      <c r="J64" s="1523" t="s">
        <v>93</v>
      </c>
      <c r="K64" s="228">
        <v>3</v>
      </c>
      <c r="L64" s="164">
        <v>3</v>
      </c>
      <c r="M64" s="192">
        <v>3</v>
      </c>
    </row>
    <row r="65" spans="1:14" s="1" customFormat="1" ht="15" customHeight="1">
      <c r="A65" s="1224"/>
      <c r="B65" s="27"/>
      <c r="C65" s="239"/>
      <c r="D65" s="1530"/>
      <c r="E65" s="232"/>
      <c r="F65" s="19"/>
      <c r="G65" s="99"/>
      <c r="H65" s="99"/>
      <c r="I65" s="99"/>
      <c r="J65" s="1667"/>
      <c r="K65" s="1243"/>
      <c r="L65" s="1284"/>
      <c r="M65" s="1246"/>
    </row>
    <row r="66" spans="1:14" s="1" customFormat="1" ht="27" customHeight="1">
      <c r="A66" s="1224"/>
      <c r="B66" s="27"/>
      <c r="C66" s="239"/>
      <c r="D66" s="1530"/>
      <c r="E66" s="1318" t="s">
        <v>202</v>
      </c>
      <c r="F66" s="1319"/>
      <c r="G66" s="996"/>
      <c r="H66" s="996"/>
      <c r="I66" s="996"/>
      <c r="J66" s="1323" t="s">
        <v>114</v>
      </c>
      <c r="K66" s="1320">
        <v>1</v>
      </c>
      <c r="L66" s="1321">
        <v>1</v>
      </c>
      <c r="M66" s="1322">
        <v>1</v>
      </c>
    </row>
    <row r="67" spans="1:14" s="1" customFormat="1" ht="30" customHeight="1">
      <c r="A67" s="1224"/>
      <c r="B67" s="27"/>
      <c r="C67" s="239"/>
      <c r="D67" s="1513" t="s">
        <v>305</v>
      </c>
      <c r="E67" s="1313" t="s">
        <v>202</v>
      </c>
      <c r="F67" s="25"/>
      <c r="G67" s="98"/>
      <c r="H67" s="98"/>
      <c r="I67" s="98"/>
      <c r="J67" s="1315" t="s">
        <v>53</v>
      </c>
      <c r="K67" s="174">
        <v>9</v>
      </c>
      <c r="L67" s="800">
        <v>9</v>
      </c>
      <c r="M67" s="280">
        <v>9</v>
      </c>
      <c r="N67" s="1075"/>
    </row>
    <row r="68" spans="1:14" s="1" customFormat="1" ht="53.25" customHeight="1">
      <c r="A68" s="1224"/>
      <c r="B68" s="27"/>
      <c r="C68" s="77"/>
      <c r="D68" s="1530"/>
      <c r="E68" s="63"/>
      <c r="F68" s="89"/>
      <c r="G68" s="509"/>
      <c r="H68" s="509"/>
      <c r="I68" s="509"/>
      <c r="J68" s="1316" t="s">
        <v>171</v>
      </c>
      <c r="K68" s="175">
        <v>22</v>
      </c>
      <c r="L68" s="794">
        <v>22</v>
      </c>
      <c r="M68" s="276">
        <v>22</v>
      </c>
    </row>
    <row r="69" spans="1:14" s="1" customFormat="1" ht="40.5" customHeight="1">
      <c r="A69" s="1224"/>
      <c r="B69" s="27"/>
      <c r="C69" s="77"/>
      <c r="D69" s="1530"/>
      <c r="E69" s="63"/>
      <c r="F69" s="89"/>
      <c r="G69" s="509"/>
      <c r="H69" s="509"/>
      <c r="I69" s="509"/>
      <c r="J69" s="1316" t="s">
        <v>186</v>
      </c>
      <c r="K69" s="175">
        <v>315</v>
      </c>
      <c r="L69" s="794">
        <v>315</v>
      </c>
      <c r="M69" s="276">
        <v>315</v>
      </c>
      <c r="N69" s="1126"/>
    </row>
    <row r="70" spans="1:14" s="1" customFormat="1" ht="53.25" customHeight="1">
      <c r="A70" s="1224"/>
      <c r="B70" s="27"/>
      <c r="C70" s="77"/>
      <c r="D70" s="1668"/>
      <c r="E70" s="63"/>
      <c r="F70" s="89"/>
      <c r="G70" s="100"/>
      <c r="H70" s="509"/>
      <c r="I70" s="509"/>
      <c r="J70" s="516" t="s">
        <v>307</v>
      </c>
      <c r="K70" s="398">
        <v>350</v>
      </c>
      <c r="L70" s="1284"/>
      <c r="M70" s="1246"/>
    </row>
    <row r="71" spans="1:14" s="1" customFormat="1" ht="25.5" customHeight="1">
      <c r="A71" s="1224"/>
      <c r="B71" s="27"/>
      <c r="C71" s="77"/>
      <c r="D71" s="1555" t="s">
        <v>198</v>
      </c>
      <c r="E71" s="1314" t="s">
        <v>202</v>
      </c>
      <c r="F71" s="294"/>
      <c r="G71" s="218"/>
      <c r="H71" s="218"/>
      <c r="I71" s="218"/>
      <c r="J71" s="1317" t="s">
        <v>187</v>
      </c>
      <c r="K71" s="405">
        <v>35</v>
      </c>
      <c r="L71" s="808">
        <v>35</v>
      </c>
      <c r="M71" s="407">
        <v>35</v>
      </c>
    </row>
    <row r="72" spans="1:14" s="1" customFormat="1" ht="27" customHeight="1">
      <c r="A72" s="1224"/>
      <c r="B72" s="27"/>
      <c r="C72" s="77"/>
      <c r="D72" s="1545"/>
      <c r="E72" s="64"/>
      <c r="F72" s="90"/>
      <c r="G72" s="964"/>
      <c r="H72" s="964"/>
      <c r="I72" s="964"/>
      <c r="J72" s="1093" t="s">
        <v>207</v>
      </c>
      <c r="K72" s="1092">
        <v>1</v>
      </c>
      <c r="L72" s="1094">
        <v>1</v>
      </c>
      <c r="M72" s="1095">
        <v>1</v>
      </c>
    </row>
    <row r="73" spans="1:14" s="1" customFormat="1" ht="15.75" customHeight="1" thickBot="1">
      <c r="A73" s="1236"/>
      <c r="B73" s="292"/>
      <c r="C73" s="71"/>
      <c r="D73" s="1324"/>
      <c r="E73" s="549"/>
      <c r="F73" s="1312" t="s">
        <v>47</v>
      </c>
      <c r="G73" s="107">
        <f>SUM(G62:G72)</f>
        <v>217.9</v>
      </c>
      <c r="H73" s="107">
        <f t="shared" ref="H73:I73" si="4">SUM(H62:H72)</f>
        <v>222</v>
      </c>
      <c r="I73" s="107">
        <f t="shared" si="4"/>
        <v>204</v>
      </c>
      <c r="J73" s="96"/>
      <c r="K73" s="1244"/>
      <c r="L73" s="1285"/>
      <c r="M73" s="1247"/>
    </row>
    <row r="74" spans="1:14" s="4" customFormat="1" ht="18" customHeight="1">
      <c r="A74" s="1481" t="s">
        <v>13</v>
      </c>
      <c r="B74" s="1482" t="s">
        <v>13</v>
      </c>
      <c r="C74" s="1499" t="s">
        <v>35</v>
      </c>
      <c r="D74" s="1557" t="s">
        <v>54</v>
      </c>
      <c r="E74" s="1665"/>
      <c r="F74" s="254" t="s">
        <v>19</v>
      </c>
      <c r="G74" s="99">
        <v>3337.6</v>
      </c>
      <c r="H74" s="99">
        <v>1478</v>
      </c>
      <c r="I74" s="99">
        <v>1739</v>
      </c>
      <c r="J74" s="1241" t="s">
        <v>149</v>
      </c>
      <c r="K74" s="1243">
        <v>3</v>
      </c>
      <c r="L74" s="1284">
        <v>2</v>
      </c>
      <c r="M74" s="1246">
        <v>3</v>
      </c>
      <c r="N74" s="1076"/>
    </row>
    <row r="75" spans="1:14" s="4" customFormat="1" ht="6.75" customHeight="1">
      <c r="A75" s="1481"/>
      <c r="B75" s="1482"/>
      <c r="C75" s="1499"/>
      <c r="D75" s="1557"/>
      <c r="E75" s="1665"/>
      <c r="F75" s="66"/>
      <c r="G75" s="99"/>
      <c r="H75" s="99"/>
      <c r="I75" s="99"/>
      <c r="J75" s="1241"/>
      <c r="K75" s="1243"/>
      <c r="L75" s="1284"/>
      <c r="M75" s="1246"/>
    </row>
    <row r="76" spans="1:14" s="4" customFormat="1" ht="16.5" customHeight="1" thickBot="1">
      <c r="A76" s="1495"/>
      <c r="B76" s="1497"/>
      <c r="C76" s="1504"/>
      <c r="D76" s="1551"/>
      <c r="E76" s="1666"/>
      <c r="F76" s="240" t="s">
        <v>47</v>
      </c>
      <c r="G76" s="107">
        <f>G74</f>
        <v>3337.6</v>
      </c>
      <c r="H76" s="107">
        <f t="shared" ref="H76:I76" si="5">H74</f>
        <v>1478</v>
      </c>
      <c r="I76" s="107">
        <f t="shared" si="5"/>
        <v>1739</v>
      </c>
      <c r="J76" s="1251"/>
      <c r="K76" s="1244"/>
      <c r="L76" s="1285"/>
      <c r="M76" s="1247"/>
    </row>
    <row r="77" spans="1:14" s="4" customFormat="1" ht="21" customHeight="1">
      <c r="A77" s="1494" t="s">
        <v>13</v>
      </c>
      <c r="B77" s="1496" t="s">
        <v>13</v>
      </c>
      <c r="C77" s="1483" t="s">
        <v>36</v>
      </c>
      <c r="D77" s="1550" t="s">
        <v>55</v>
      </c>
      <c r="E77" s="1552"/>
      <c r="F77" s="92" t="s">
        <v>19</v>
      </c>
      <c r="G77" s="112">
        <v>29</v>
      </c>
      <c r="H77" s="112">
        <v>29</v>
      </c>
      <c r="I77" s="112">
        <v>29</v>
      </c>
      <c r="J77" s="29"/>
      <c r="K77" s="1242"/>
      <c r="L77" s="1283"/>
      <c r="M77" s="1245"/>
    </row>
    <row r="78" spans="1:14" s="4" customFormat="1" ht="18.75" customHeight="1" thickBot="1">
      <c r="A78" s="1495"/>
      <c r="B78" s="1497"/>
      <c r="C78" s="1549"/>
      <c r="D78" s="1551"/>
      <c r="E78" s="1553"/>
      <c r="F78" s="88" t="s">
        <v>47</v>
      </c>
      <c r="G78" s="107">
        <f>G77</f>
        <v>29</v>
      </c>
      <c r="H78" s="107">
        <f t="shared" ref="H78:I78" si="6">H77</f>
        <v>29</v>
      </c>
      <c r="I78" s="107">
        <f t="shared" si="6"/>
        <v>29</v>
      </c>
      <c r="J78" s="113"/>
      <c r="K78" s="1244"/>
      <c r="L78" s="1285"/>
      <c r="M78" s="1247"/>
    </row>
    <row r="79" spans="1:14" s="1" customFormat="1" ht="14.25" customHeight="1">
      <c r="A79" s="30" t="s">
        <v>13</v>
      </c>
      <c r="B79" s="31" t="s">
        <v>13</v>
      </c>
      <c r="C79" s="243" t="s">
        <v>39</v>
      </c>
      <c r="D79" s="1525" t="s">
        <v>56</v>
      </c>
      <c r="E79" s="32"/>
      <c r="F79" s="70" t="s">
        <v>19</v>
      </c>
      <c r="G79" s="139">
        <v>29.8</v>
      </c>
      <c r="H79" s="139">
        <v>104.1</v>
      </c>
      <c r="I79" s="139">
        <v>701.1</v>
      </c>
      <c r="J79" s="411"/>
      <c r="K79" s="1242"/>
      <c r="L79" s="1283"/>
      <c r="M79" s="1245"/>
    </row>
    <row r="80" spans="1:14" s="1" customFormat="1" ht="14.25" customHeight="1">
      <c r="A80" s="13"/>
      <c r="B80" s="14"/>
      <c r="C80" s="236"/>
      <c r="D80" s="1526"/>
      <c r="E80" s="34"/>
      <c r="F80" s="66" t="s">
        <v>199</v>
      </c>
      <c r="G80" s="83">
        <v>20</v>
      </c>
      <c r="H80" s="83"/>
      <c r="I80" s="83"/>
      <c r="J80" s="1241"/>
      <c r="K80" s="1243"/>
      <c r="L80" s="1284"/>
      <c r="M80" s="1246"/>
    </row>
    <row r="81" spans="1:14" s="1" customFormat="1" ht="14.25" customHeight="1">
      <c r="A81" s="13"/>
      <c r="B81" s="14"/>
      <c r="C81" s="236"/>
      <c r="D81" s="1526"/>
      <c r="E81" s="34"/>
      <c r="F81" s="49" t="s">
        <v>23</v>
      </c>
      <c r="G81" s="83">
        <v>106.7</v>
      </c>
      <c r="H81" s="83">
        <v>89.5</v>
      </c>
      <c r="I81" s="83">
        <v>89.5</v>
      </c>
      <c r="J81" s="1241"/>
      <c r="K81" s="1243"/>
      <c r="L81" s="1284"/>
      <c r="M81" s="1246"/>
    </row>
    <row r="82" spans="1:14" s="1" customFormat="1" ht="14.25" customHeight="1">
      <c r="A82" s="13"/>
      <c r="B82" s="14"/>
      <c r="C82" s="236"/>
      <c r="D82" s="1526"/>
      <c r="E82" s="34"/>
      <c r="F82" s="49" t="s">
        <v>24</v>
      </c>
      <c r="G82" s="83">
        <v>143.6</v>
      </c>
      <c r="H82" s="83">
        <v>0</v>
      </c>
      <c r="I82" s="83">
        <v>0</v>
      </c>
      <c r="J82" s="1241"/>
      <c r="K82" s="1243"/>
      <c r="L82" s="1284"/>
      <c r="M82" s="1246"/>
    </row>
    <row r="83" spans="1:14" s="1" customFormat="1" ht="14.25" customHeight="1">
      <c r="A83" s="13"/>
      <c r="B83" s="14"/>
      <c r="C83" s="236"/>
      <c r="D83" s="636"/>
      <c r="E83" s="34"/>
      <c r="F83" s="46" t="s">
        <v>110</v>
      </c>
      <c r="G83" s="83">
        <v>96.7</v>
      </c>
      <c r="H83" s="83">
        <v>0</v>
      </c>
      <c r="I83" s="83">
        <v>0</v>
      </c>
      <c r="J83" s="1241"/>
      <c r="K83" s="1243"/>
      <c r="L83" s="1284"/>
      <c r="M83" s="1246"/>
    </row>
    <row r="84" spans="1:14" s="1" customFormat="1" ht="15.75" customHeight="1">
      <c r="A84" s="13"/>
      <c r="B84" s="14"/>
      <c r="C84" s="236"/>
      <c r="D84" s="1513" t="s">
        <v>57</v>
      </c>
      <c r="E84" s="34"/>
      <c r="F84" s="25"/>
      <c r="G84" s="109"/>
      <c r="H84" s="109"/>
      <c r="I84" s="109"/>
      <c r="J84" s="1515" t="s">
        <v>101</v>
      </c>
      <c r="K84" s="176">
        <v>67</v>
      </c>
      <c r="L84" s="164">
        <v>50</v>
      </c>
      <c r="M84" s="192">
        <v>50</v>
      </c>
    </row>
    <row r="85" spans="1:14" s="1" customFormat="1" ht="15.75" customHeight="1">
      <c r="A85" s="13"/>
      <c r="B85" s="14"/>
      <c r="C85" s="236"/>
      <c r="D85" s="1545"/>
      <c r="E85" s="34"/>
      <c r="F85" s="22"/>
      <c r="G85" s="110"/>
      <c r="H85" s="110"/>
      <c r="I85" s="110"/>
      <c r="J85" s="1664"/>
      <c r="K85" s="162"/>
      <c r="L85" s="162"/>
      <c r="M85" s="193"/>
    </row>
    <row r="86" spans="1:14" s="1" customFormat="1" ht="14.25" customHeight="1">
      <c r="A86" s="13"/>
      <c r="B86" s="14"/>
      <c r="C86" s="236"/>
      <c r="D86" s="1517" t="s">
        <v>58</v>
      </c>
      <c r="E86" s="34"/>
      <c r="F86" s="465"/>
      <c r="G86" s="83"/>
      <c r="H86" s="83"/>
      <c r="I86" s="83"/>
      <c r="J86" s="1519" t="s">
        <v>116</v>
      </c>
      <c r="K86" s="1284">
        <v>18</v>
      </c>
      <c r="L86" s="1284">
        <v>18</v>
      </c>
      <c r="M86" s="1246">
        <v>18</v>
      </c>
    </row>
    <row r="87" spans="1:14" s="1" customFormat="1" ht="16.5" customHeight="1">
      <c r="A87" s="13"/>
      <c r="B87" s="14"/>
      <c r="C87" s="236"/>
      <c r="D87" s="1518"/>
      <c r="E87" s="34"/>
      <c r="F87" s="22"/>
      <c r="G87" s="110"/>
      <c r="H87" s="110"/>
      <c r="I87" s="110"/>
      <c r="J87" s="1520"/>
      <c r="K87" s="162"/>
      <c r="L87" s="162"/>
      <c r="M87" s="193"/>
    </row>
    <row r="88" spans="1:14" s="1" customFormat="1" ht="15.75" customHeight="1">
      <c r="A88" s="13"/>
      <c r="B88" s="14"/>
      <c r="C88" s="236"/>
      <c r="D88" s="1469" t="s">
        <v>59</v>
      </c>
      <c r="E88" s="34"/>
      <c r="F88" s="19"/>
      <c r="G88" s="83"/>
      <c r="H88" s="83"/>
      <c r="I88" s="83"/>
      <c r="J88" s="1256" t="s">
        <v>117</v>
      </c>
      <c r="K88" s="165">
        <v>7</v>
      </c>
      <c r="L88" s="165">
        <v>4</v>
      </c>
      <c r="M88" s="188">
        <v>4</v>
      </c>
    </row>
    <row r="89" spans="1:14" s="1" customFormat="1" ht="36.75" customHeight="1">
      <c r="A89" s="13"/>
      <c r="B89" s="14"/>
      <c r="C89" s="236"/>
      <c r="D89" s="1470"/>
      <c r="E89" s="34"/>
      <c r="F89" s="465"/>
      <c r="G89" s="83"/>
      <c r="H89" s="83"/>
      <c r="I89" s="83"/>
      <c r="J89" s="1228"/>
      <c r="K89" s="301"/>
      <c r="L89" s="301"/>
      <c r="M89" s="302"/>
    </row>
    <row r="90" spans="1:14" s="1" customFormat="1" ht="24" customHeight="1">
      <c r="A90" s="13"/>
      <c r="B90" s="36"/>
      <c r="C90" s="244"/>
      <c r="D90" s="1513" t="s">
        <v>115</v>
      </c>
      <c r="E90" s="20"/>
      <c r="F90" s="25"/>
      <c r="G90" s="109"/>
      <c r="H90" s="109"/>
      <c r="I90" s="109"/>
      <c r="J90" s="1273" t="s">
        <v>90</v>
      </c>
      <c r="K90" s="164">
        <v>2</v>
      </c>
      <c r="L90" s="164">
        <v>2</v>
      </c>
      <c r="M90" s="192">
        <v>2</v>
      </c>
    </row>
    <row r="91" spans="1:14" s="1" customFormat="1" ht="26.25" customHeight="1">
      <c r="A91" s="13"/>
      <c r="B91" s="36"/>
      <c r="C91" s="244"/>
      <c r="D91" s="1545"/>
      <c r="E91" s="20"/>
      <c r="F91" s="22"/>
      <c r="G91" s="84"/>
      <c r="H91" s="84"/>
      <c r="I91" s="84"/>
      <c r="J91" s="253"/>
      <c r="K91" s="162"/>
      <c r="L91" s="162"/>
      <c r="M91" s="193"/>
      <c r="N91" s="241"/>
    </row>
    <row r="92" spans="1:14" s="1" customFormat="1" ht="19.5" customHeight="1">
      <c r="A92" s="13"/>
      <c r="B92" s="14"/>
      <c r="C92" s="236"/>
      <c r="D92" s="1513" t="s">
        <v>175</v>
      </c>
      <c r="E92" s="34"/>
      <c r="F92" s="25"/>
      <c r="G92" s="227"/>
      <c r="H92" s="227"/>
      <c r="I92" s="227"/>
      <c r="J92" s="1273" t="s">
        <v>118</v>
      </c>
      <c r="K92" s="164">
        <v>10</v>
      </c>
      <c r="L92" s="164">
        <v>10</v>
      </c>
      <c r="M92" s="192">
        <v>10</v>
      </c>
    </row>
    <row r="93" spans="1:14" s="1" customFormat="1" ht="32.25" customHeight="1">
      <c r="A93" s="13"/>
      <c r="B93" s="36"/>
      <c r="C93" s="244"/>
      <c r="D93" s="1640"/>
      <c r="E93" s="373"/>
      <c r="F93" s="22"/>
      <c r="G93" s="84"/>
      <c r="H93" s="84"/>
      <c r="I93" s="84"/>
      <c r="J93" s="263"/>
      <c r="K93" s="162"/>
      <c r="L93" s="162"/>
      <c r="M93" s="193"/>
    </row>
    <row r="94" spans="1:14" s="1" customFormat="1" ht="54" customHeight="1">
      <c r="A94" s="13"/>
      <c r="B94" s="36"/>
      <c r="C94" s="244"/>
      <c r="D94" s="371" t="s">
        <v>123</v>
      </c>
      <c r="E94" s="373"/>
      <c r="F94" s="22"/>
      <c r="G94" s="84"/>
      <c r="H94" s="84"/>
      <c r="I94" s="84"/>
      <c r="J94" s="263" t="s">
        <v>121</v>
      </c>
      <c r="K94" s="162">
        <v>116</v>
      </c>
      <c r="L94" s="162">
        <v>116</v>
      </c>
      <c r="M94" s="193">
        <v>116</v>
      </c>
    </row>
    <row r="95" spans="1:14" s="1" customFormat="1" ht="25.5" customHeight="1">
      <c r="A95" s="13"/>
      <c r="B95" s="14"/>
      <c r="C95" s="244"/>
      <c r="D95" s="1546" t="s">
        <v>60</v>
      </c>
      <c r="E95" s="34"/>
      <c r="F95" s="25"/>
      <c r="G95" s="218"/>
      <c r="H95" s="218"/>
      <c r="I95" s="218"/>
      <c r="J95" s="1228" t="s">
        <v>61</v>
      </c>
      <c r="K95" s="301">
        <v>30</v>
      </c>
      <c r="L95" s="301">
        <v>30</v>
      </c>
      <c r="M95" s="302">
        <v>30</v>
      </c>
    </row>
    <row r="96" spans="1:14" s="1" customFormat="1" ht="19.5" customHeight="1">
      <c r="A96" s="13"/>
      <c r="B96" s="14"/>
      <c r="C96" s="244"/>
      <c r="D96" s="1547"/>
      <c r="E96" s="34"/>
      <c r="F96" s="22"/>
      <c r="G96" s="268"/>
      <c r="H96" s="268"/>
      <c r="I96" s="268"/>
      <c r="J96" s="1289"/>
      <c r="K96" s="166"/>
      <c r="L96" s="166"/>
      <c r="M96" s="191"/>
    </row>
    <row r="97" spans="1:15" s="1" customFormat="1" ht="42" customHeight="1">
      <c r="A97" s="13"/>
      <c r="B97" s="36"/>
      <c r="C97" s="244"/>
      <c r="D97" s="371" t="s">
        <v>62</v>
      </c>
      <c r="E97" s="373"/>
      <c r="F97" s="22"/>
      <c r="G97" s="84"/>
      <c r="H97" s="84"/>
      <c r="I97" s="84"/>
      <c r="J97" s="263" t="s">
        <v>63</v>
      </c>
      <c r="K97" s="162">
        <v>80</v>
      </c>
      <c r="L97" s="162">
        <v>80</v>
      </c>
      <c r="M97" s="193">
        <v>80</v>
      </c>
    </row>
    <row r="98" spans="1:15" s="1" customFormat="1" ht="15" customHeight="1">
      <c r="A98" s="13"/>
      <c r="B98" s="36"/>
      <c r="C98" s="244"/>
      <c r="D98" s="1513" t="s">
        <v>64</v>
      </c>
      <c r="E98" s="34"/>
      <c r="F98" s="25"/>
      <c r="G98" s="227"/>
      <c r="H98" s="98"/>
      <c r="I98" s="98"/>
      <c r="J98" s="1515" t="s">
        <v>176</v>
      </c>
      <c r="K98" s="164">
        <v>1</v>
      </c>
      <c r="L98" s="164">
        <v>1</v>
      </c>
      <c r="M98" s="192">
        <v>1</v>
      </c>
    </row>
    <row r="99" spans="1:15" s="1" customFormat="1" ht="16.5" customHeight="1">
      <c r="A99" s="13"/>
      <c r="B99" s="36"/>
      <c r="C99" s="383"/>
      <c r="D99" s="1640"/>
      <c r="E99" s="373"/>
      <c r="F99" s="46"/>
      <c r="G99" s="84"/>
      <c r="H99" s="103"/>
      <c r="I99" s="103"/>
      <c r="J99" s="1520"/>
      <c r="K99" s="1284"/>
      <c r="L99" s="1284"/>
      <c r="M99" s="1246"/>
    </row>
    <row r="100" spans="1:15" s="1" customFormat="1" ht="17.25" customHeight="1">
      <c r="A100" s="13"/>
      <c r="B100" s="36"/>
      <c r="C100" s="383"/>
      <c r="D100" s="1436" t="s">
        <v>65</v>
      </c>
      <c r="E100" s="373"/>
      <c r="F100" s="49"/>
      <c r="G100" s="83"/>
      <c r="H100" s="99"/>
      <c r="I100" s="99"/>
      <c r="J100" s="1636" t="s">
        <v>151</v>
      </c>
      <c r="K100" s="1071">
        <v>100</v>
      </c>
      <c r="L100" s="297"/>
      <c r="M100" s="229"/>
    </row>
    <row r="101" spans="1:15" s="1" customFormat="1" ht="14.25" customHeight="1">
      <c r="A101" s="13"/>
      <c r="B101" s="36"/>
      <c r="C101" s="383"/>
      <c r="D101" s="1480"/>
      <c r="E101" s="373"/>
      <c r="F101" s="49"/>
      <c r="G101" s="83"/>
      <c r="H101" s="99"/>
      <c r="I101" s="99"/>
      <c r="J101" s="1548"/>
      <c r="K101" s="337"/>
      <c r="L101" s="337"/>
      <c r="M101" s="346"/>
    </row>
    <row r="102" spans="1:15" s="1" customFormat="1" ht="30.75" customHeight="1">
      <c r="A102" s="13"/>
      <c r="B102" s="36"/>
      <c r="C102" s="383"/>
      <c r="D102" s="1480"/>
      <c r="E102" s="373"/>
      <c r="F102" s="49"/>
      <c r="G102" s="83"/>
      <c r="H102" s="99"/>
      <c r="I102" s="99"/>
      <c r="J102" s="135" t="s">
        <v>150</v>
      </c>
      <c r="K102" s="1067">
        <v>100</v>
      </c>
      <c r="L102" s="483"/>
      <c r="M102" s="918"/>
      <c r="O102" s="241"/>
    </row>
    <row r="103" spans="1:15" s="1" customFormat="1" ht="15" customHeight="1">
      <c r="A103" s="13"/>
      <c r="B103" s="36"/>
      <c r="C103" s="383"/>
      <c r="D103" s="1274"/>
      <c r="E103" s="373"/>
      <c r="F103" s="99"/>
      <c r="G103" s="99"/>
      <c r="H103" s="99"/>
      <c r="I103" s="99"/>
      <c r="J103" s="1459" t="s">
        <v>148</v>
      </c>
      <c r="K103" s="178">
        <v>100</v>
      </c>
      <c r="L103" s="178"/>
      <c r="M103" s="358"/>
      <c r="N103" s="1662"/>
    </row>
    <row r="104" spans="1:15" s="1" customFormat="1" ht="24" customHeight="1">
      <c r="A104" s="13"/>
      <c r="B104" s="36"/>
      <c r="C104" s="383"/>
      <c r="D104" s="1274"/>
      <c r="E104" s="373"/>
      <c r="F104" s="99"/>
      <c r="G104" s="99"/>
      <c r="H104" s="99"/>
      <c r="I104" s="99"/>
      <c r="J104" s="1512"/>
      <c r="K104" s="337"/>
      <c r="L104" s="337"/>
      <c r="M104" s="346"/>
      <c r="N104" s="1662"/>
    </row>
    <row r="105" spans="1:15" s="1" customFormat="1" ht="29.25" customHeight="1">
      <c r="A105" s="13"/>
      <c r="B105" s="36"/>
      <c r="C105" s="383"/>
      <c r="D105" s="1264"/>
      <c r="E105" s="373"/>
      <c r="F105" s="103"/>
      <c r="G105" s="103"/>
      <c r="H105" s="103"/>
      <c r="I105" s="103"/>
      <c r="J105" s="881" t="s">
        <v>139</v>
      </c>
      <c r="K105" s="298"/>
      <c r="L105" s="298">
        <v>100</v>
      </c>
      <c r="M105" s="194"/>
      <c r="N105" s="1663"/>
    </row>
    <row r="106" spans="1:15" s="1" customFormat="1" ht="25.5" customHeight="1">
      <c r="A106" s="13"/>
      <c r="B106" s="14"/>
      <c r="C106" s="244"/>
      <c r="D106" s="1522" t="s">
        <v>177</v>
      </c>
      <c r="E106" s="373"/>
      <c r="F106" s="218"/>
      <c r="G106" s="303"/>
      <c r="H106" s="1089"/>
      <c r="I106" s="1089"/>
      <c r="J106" s="1273" t="s">
        <v>278</v>
      </c>
      <c r="K106" s="165"/>
      <c r="L106" s="165"/>
      <c r="M106" s="188">
        <v>25</v>
      </c>
      <c r="N106" s="1663"/>
    </row>
    <row r="107" spans="1:15" s="1" customFormat="1" ht="15.75" customHeight="1">
      <c r="A107" s="13"/>
      <c r="B107" s="14"/>
      <c r="C107" s="244"/>
      <c r="D107" s="1513"/>
      <c r="E107" s="1329"/>
      <c r="F107" s="223"/>
      <c r="G107" s="268"/>
      <c r="H107" s="1090"/>
      <c r="I107" s="1090"/>
      <c r="J107" s="481"/>
      <c r="K107" s="482"/>
      <c r="L107" s="301"/>
      <c r="M107" s="302"/>
    </row>
    <row r="108" spans="1:15" s="1" customFormat="1" ht="16.5" customHeight="1">
      <c r="A108" s="13"/>
      <c r="B108" s="14"/>
      <c r="C108" s="244"/>
      <c r="D108" s="1522" t="s">
        <v>280</v>
      </c>
      <c r="E108" s="396" t="s">
        <v>267</v>
      </c>
      <c r="F108" s="218"/>
      <c r="G108" s="303"/>
      <c r="H108" s="1089"/>
      <c r="I108" s="1089"/>
      <c r="J108" s="1273" t="s">
        <v>308</v>
      </c>
      <c r="K108" s="165">
        <v>1</v>
      </c>
      <c r="L108" s="165"/>
      <c r="M108" s="188"/>
    </row>
    <row r="109" spans="1:15" s="1" customFormat="1" ht="24.75" customHeight="1">
      <c r="A109" s="13"/>
      <c r="B109" s="14"/>
      <c r="C109" s="244"/>
      <c r="D109" s="1522"/>
      <c r="E109" s="1329"/>
      <c r="F109" s="223"/>
      <c r="G109" s="268"/>
      <c r="H109" s="1090"/>
      <c r="I109" s="1090"/>
      <c r="J109" s="1257" t="s">
        <v>281</v>
      </c>
      <c r="K109" s="1328"/>
      <c r="L109" s="166"/>
      <c r="M109" s="191"/>
    </row>
    <row r="110" spans="1:15" s="4" customFormat="1" ht="18.75" customHeight="1" thickBot="1">
      <c r="A110" s="13"/>
      <c r="B110" s="36"/>
      <c r="C110" s="383"/>
      <c r="D110" s="1327"/>
      <c r="E110" s="1326"/>
      <c r="F110" s="88" t="s">
        <v>47</v>
      </c>
      <c r="G110" s="107">
        <f>SUM(G79:G83)</f>
        <v>396.8</v>
      </c>
      <c r="H110" s="107">
        <f t="shared" ref="H110:I110" si="7">SUM(H79:H83)</f>
        <v>193.6</v>
      </c>
      <c r="I110" s="107">
        <f t="shared" si="7"/>
        <v>790.6</v>
      </c>
      <c r="J110" s="113"/>
      <c r="K110" s="1244"/>
      <c r="L110" s="1285"/>
      <c r="M110" s="1247"/>
    </row>
    <row r="111" spans="1:15" s="1" customFormat="1" ht="16.5" customHeight="1">
      <c r="A111" s="1494" t="s">
        <v>13</v>
      </c>
      <c r="B111" s="1496" t="s">
        <v>13</v>
      </c>
      <c r="C111" s="1503" t="s">
        <v>42</v>
      </c>
      <c r="D111" s="1505" t="s">
        <v>66</v>
      </c>
      <c r="E111" s="1659"/>
      <c r="F111" s="254" t="s">
        <v>19</v>
      </c>
      <c r="G111" s="134">
        <v>10</v>
      </c>
      <c r="H111" s="134">
        <v>10</v>
      </c>
      <c r="I111" s="134">
        <v>10</v>
      </c>
      <c r="J111" s="45" t="s">
        <v>67</v>
      </c>
      <c r="K111" s="1283">
        <v>5</v>
      </c>
      <c r="L111" s="1283">
        <v>5</v>
      </c>
      <c r="M111" s="1245">
        <v>5</v>
      </c>
    </row>
    <row r="112" spans="1:15" s="1" customFormat="1" ht="13.5" customHeight="1">
      <c r="A112" s="1481"/>
      <c r="B112" s="1482"/>
      <c r="C112" s="1499"/>
      <c r="D112" s="1506"/>
      <c r="E112" s="1660"/>
      <c r="F112" s="66"/>
      <c r="G112" s="99"/>
      <c r="H112" s="99"/>
      <c r="I112" s="99"/>
      <c r="J112" s="956"/>
      <c r="K112" s="1284"/>
      <c r="L112" s="1284"/>
      <c r="M112" s="1246"/>
    </row>
    <row r="113" spans="1:17" s="1" customFormat="1" ht="17.25" customHeight="1" thickBot="1">
      <c r="A113" s="1495"/>
      <c r="B113" s="1497"/>
      <c r="C113" s="1504"/>
      <c r="D113" s="1507"/>
      <c r="E113" s="1661"/>
      <c r="F113" s="39" t="s">
        <v>47</v>
      </c>
      <c r="G113" s="107">
        <f>SUM(G111)</f>
        <v>10</v>
      </c>
      <c r="H113" s="107">
        <f t="shared" ref="H113:I113" si="8">SUM(H111)</f>
        <v>10</v>
      </c>
      <c r="I113" s="107">
        <f t="shared" si="8"/>
        <v>10</v>
      </c>
      <c r="J113" s="113"/>
      <c r="K113" s="1285"/>
      <c r="L113" s="1285"/>
      <c r="M113" s="1247"/>
    </row>
    <row r="114" spans="1:17" s="40" customFormat="1" ht="14.25" customHeight="1">
      <c r="A114" s="1494" t="s">
        <v>13</v>
      </c>
      <c r="B114" s="1496" t="s">
        <v>13</v>
      </c>
      <c r="C114" s="1498" t="s">
        <v>44</v>
      </c>
      <c r="D114" s="1488" t="s">
        <v>217</v>
      </c>
      <c r="E114" s="1325"/>
      <c r="F114" s="70" t="s">
        <v>20</v>
      </c>
      <c r="G114" s="98">
        <v>5.4</v>
      </c>
      <c r="H114" s="98">
        <v>5.4</v>
      </c>
      <c r="I114" s="98">
        <v>5.4</v>
      </c>
      <c r="J114" s="1501" t="s">
        <v>94</v>
      </c>
      <c r="K114" s="397">
        <v>1</v>
      </c>
      <c r="L114" s="1284">
        <v>1</v>
      </c>
      <c r="M114" s="1246">
        <v>1</v>
      </c>
    </row>
    <row r="115" spans="1:17" s="40" customFormat="1" ht="13.5" customHeight="1">
      <c r="A115" s="1481"/>
      <c r="B115" s="1482"/>
      <c r="C115" s="1499"/>
      <c r="D115" s="1658"/>
      <c r="E115" s="467"/>
      <c r="F115" s="66"/>
      <c r="G115" s="99"/>
      <c r="H115" s="99"/>
      <c r="I115" s="99"/>
      <c r="J115" s="1649"/>
      <c r="K115" s="398"/>
      <c r="L115" s="1284"/>
      <c r="M115" s="1246"/>
    </row>
    <row r="116" spans="1:17" s="40" customFormat="1" ht="18.75" customHeight="1" thickBot="1">
      <c r="A116" s="1495"/>
      <c r="B116" s="1497"/>
      <c r="C116" s="1500"/>
      <c r="D116" s="233"/>
      <c r="E116" s="571"/>
      <c r="F116" s="39" t="s">
        <v>47</v>
      </c>
      <c r="G116" s="107">
        <f>SUM(G114:G114)</f>
        <v>5.4</v>
      </c>
      <c r="H116" s="107">
        <f>SUM(H114:H114)</f>
        <v>5.4</v>
      </c>
      <c r="I116" s="107">
        <f>SUM(I114:I114)</f>
        <v>5.4</v>
      </c>
      <c r="J116" s="1229"/>
      <c r="K116" s="399"/>
      <c r="L116" s="1285"/>
      <c r="M116" s="1247"/>
    </row>
    <row r="117" spans="1:17" s="1" customFormat="1" ht="15" customHeight="1" thickBot="1">
      <c r="A117" s="1236" t="s">
        <v>13</v>
      </c>
      <c r="B117" s="1330" t="s">
        <v>13</v>
      </c>
      <c r="C117" s="1650" t="s">
        <v>68</v>
      </c>
      <c r="D117" s="1651"/>
      <c r="E117" s="1651"/>
      <c r="F117" s="1652"/>
      <c r="G117" s="1331">
        <f>G116+G113+G110+G78+G76+G73+G61+G59+G55+G52+G49</f>
        <v>15140.6</v>
      </c>
      <c r="H117" s="1331">
        <f t="shared" ref="H117:I117" si="9">H116+H113+H110+H78+H76+H73+H61+H59+H55+H52+H49</f>
        <v>12762.7</v>
      </c>
      <c r="I117" s="1331">
        <f t="shared" si="9"/>
        <v>13588.7</v>
      </c>
      <c r="J117" s="41"/>
      <c r="K117" s="255"/>
      <c r="L117" s="168"/>
      <c r="M117" s="423"/>
    </row>
    <row r="118" spans="1:17" s="1" customFormat="1" ht="17.25" customHeight="1" thickBot="1">
      <c r="A118" s="43" t="s">
        <v>13</v>
      </c>
      <c r="B118" s="1332" t="s">
        <v>21</v>
      </c>
      <c r="C118" s="1653" t="s">
        <v>69</v>
      </c>
      <c r="D118" s="1654"/>
      <c r="E118" s="1654"/>
      <c r="F118" s="1654"/>
      <c r="G118" s="1654"/>
      <c r="H118" s="1654"/>
      <c r="I118" s="1654"/>
      <c r="J118" s="1654"/>
      <c r="K118" s="1654"/>
      <c r="L118" s="1654"/>
      <c r="M118" s="1655"/>
    </row>
    <row r="119" spans="1:17" s="1" customFormat="1" ht="15.75" customHeight="1">
      <c r="A119" s="1235" t="s">
        <v>13</v>
      </c>
      <c r="B119" s="1248" t="s">
        <v>21</v>
      </c>
      <c r="C119" s="409" t="s">
        <v>13</v>
      </c>
      <c r="D119" s="1488" t="s">
        <v>102</v>
      </c>
      <c r="E119" s="1656" t="s">
        <v>299</v>
      </c>
      <c r="F119" s="1172" t="s">
        <v>19</v>
      </c>
      <c r="G119" s="134">
        <v>553.5</v>
      </c>
      <c r="H119" s="151">
        <v>469.8</v>
      </c>
      <c r="I119" s="151">
        <v>458.6</v>
      </c>
      <c r="J119" s="1173" t="s">
        <v>96</v>
      </c>
      <c r="K119" s="1180">
        <v>432</v>
      </c>
      <c r="L119" s="1180">
        <v>432</v>
      </c>
      <c r="M119" s="1181">
        <v>432</v>
      </c>
    </row>
    <row r="120" spans="1:17" s="1" customFormat="1" ht="26.25" customHeight="1">
      <c r="A120" s="1224"/>
      <c r="B120" s="1249"/>
      <c r="C120" s="1226"/>
      <c r="D120" s="1470"/>
      <c r="E120" s="1657"/>
      <c r="F120" s="114"/>
      <c r="G120" s="99"/>
      <c r="H120" s="99"/>
      <c r="I120" s="99"/>
      <c r="J120" s="1254" t="s">
        <v>137</v>
      </c>
      <c r="K120" s="811">
        <v>509</v>
      </c>
      <c r="L120" s="811">
        <v>514</v>
      </c>
      <c r="M120" s="214">
        <v>517</v>
      </c>
    </row>
    <row r="121" spans="1:17" s="1" customFormat="1" ht="14.25" customHeight="1">
      <c r="A121" s="1224"/>
      <c r="B121" s="1249"/>
      <c r="C121" s="1226"/>
      <c r="D121" s="1258"/>
      <c r="E121" s="1657"/>
      <c r="F121" s="114"/>
      <c r="G121" s="99"/>
      <c r="H121" s="99"/>
      <c r="I121" s="99"/>
      <c r="J121" s="135" t="s">
        <v>97</v>
      </c>
      <c r="K121" s="812">
        <v>3</v>
      </c>
      <c r="L121" s="812">
        <v>50</v>
      </c>
      <c r="M121" s="196">
        <v>50</v>
      </c>
    </row>
    <row r="122" spans="1:17" s="1" customFormat="1" ht="14.25" customHeight="1">
      <c r="A122" s="1224"/>
      <c r="B122" s="1249"/>
      <c r="C122" s="1226"/>
      <c r="D122" s="1258"/>
      <c r="E122" s="1657"/>
      <c r="F122" s="114"/>
      <c r="G122" s="99"/>
      <c r="H122" s="99"/>
      <c r="I122" s="99"/>
      <c r="J122" s="135" t="s">
        <v>95</v>
      </c>
      <c r="K122" s="812">
        <v>5</v>
      </c>
      <c r="L122" s="812">
        <v>5</v>
      </c>
      <c r="M122" s="196">
        <v>5</v>
      </c>
    </row>
    <row r="123" spans="1:17" s="1" customFormat="1" ht="14.25" customHeight="1">
      <c r="A123" s="1224"/>
      <c r="B123" s="1249"/>
      <c r="C123" s="1226"/>
      <c r="D123" s="1274"/>
      <c r="E123" s="1657"/>
      <c r="F123" s="114"/>
      <c r="G123" s="99"/>
      <c r="H123" s="99"/>
      <c r="I123" s="99"/>
      <c r="J123" s="1255" t="s">
        <v>119</v>
      </c>
      <c r="K123" s="1203">
        <v>4</v>
      </c>
      <c r="L123" s="812"/>
      <c r="M123" s="196">
        <v>1</v>
      </c>
    </row>
    <row r="124" spans="1:17" s="1" customFormat="1" ht="14.25" customHeight="1">
      <c r="A124" s="1224"/>
      <c r="B124" s="1249"/>
      <c r="C124" s="1226"/>
      <c r="D124" s="1274"/>
      <c r="E124" s="1657"/>
      <c r="F124" s="114"/>
      <c r="G124" s="99"/>
      <c r="H124" s="99"/>
      <c r="I124" s="99"/>
      <c r="J124" s="135" t="s">
        <v>120</v>
      </c>
      <c r="K124" s="812">
        <v>15</v>
      </c>
      <c r="L124" s="812">
        <v>15</v>
      </c>
      <c r="M124" s="196">
        <v>15</v>
      </c>
    </row>
    <row r="125" spans="1:17" s="1" customFormat="1" ht="39" customHeight="1">
      <c r="A125" s="1224"/>
      <c r="B125" s="1249"/>
      <c r="C125" s="1226"/>
      <c r="D125" s="1274"/>
      <c r="E125" s="1259"/>
      <c r="F125" s="114"/>
      <c r="G125" s="99"/>
      <c r="H125" s="99"/>
      <c r="I125" s="99"/>
      <c r="J125" s="1254" t="s">
        <v>282</v>
      </c>
      <c r="K125" s="811">
        <v>1</v>
      </c>
      <c r="L125" s="811">
        <v>1</v>
      </c>
      <c r="M125" s="214">
        <v>1</v>
      </c>
    </row>
    <row r="126" spans="1:17" s="1" customFormat="1" ht="39.75" customHeight="1">
      <c r="A126" s="1224"/>
      <c r="B126" s="1249"/>
      <c r="C126" s="1226"/>
      <c r="D126" s="1097"/>
      <c r="E126" s="1259"/>
      <c r="F126" s="114"/>
      <c r="G126" s="99"/>
      <c r="H126" s="99"/>
      <c r="I126" s="99"/>
      <c r="J126" s="135" t="s">
        <v>309</v>
      </c>
      <c r="K126" s="812">
        <v>2</v>
      </c>
      <c r="L126" s="812"/>
      <c r="M126" s="196"/>
    </row>
    <row r="127" spans="1:17" s="1" customFormat="1" ht="17.25" customHeight="1">
      <c r="A127" s="1224"/>
      <c r="B127" s="1249"/>
      <c r="C127" s="1226"/>
      <c r="D127" s="1097"/>
      <c r="E127" s="1259"/>
      <c r="F127" s="114"/>
      <c r="G127" s="99"/>
      <c r="H127" s="99"/>
      <c r="I127" s="99"/>
      <c r="J127" s="1538" t="s">
        <v>302</v>
      </c>
      <c r="K127" s="811">
        <v>51</v>
      </c>
      <c r="L127" s="811">
        <v>66</v>
      </c>
      <c r="M127" s="214"/>
    </row>
    <row r="128" spans="1:17" s="1" customFormat="1" ht="10.5" customHeight="1">
      <c r="A128" s="1224"/>
      <c r="B128" s="1249"/>
      <c r="C128" s="1226"/>
      <c r="D128" s="1097"/>
      <c r="E128" s="1346"/>
      <c r="F128" s="1347"/>
      <c r="G128" s="102"/>
      <c r="H128" s="102"/>
      <c r="I128" s="102"/>
      <c r="J128" s="1548"/>
      <c r="K128" s="1008"/>
      <c r="L128" s="1086"/>
      <c r="M128" s="1098"/>
      <c r="Q128" s="1358"/>
    </row>
    <row r="129" spans="1:14" s="1" customFormat="1" ht="28.5" customHeight="1">
      <c r="A129" s="1224"/>
      <c r="B129" s="1249"/>
      <c r="C129" s="1226"/>
      <c r="D129" s="1647"/>
      <c r="E129" s="1345" t="s">
        <v>267</v>
      </c>
      <c r="F129" s="114"/>
      <c r="G129" s="99"/>
      <c r="H129" s="99"/>
      <c r="I129" s="99"/>
      <c r="J129" s="1228" t="s">
        <v>313</v>
      </c>
      <c r="K129" s="811"/>
      <c r="L129" s="811">
        <v>1</v>
      </c>
      <c r="M129" s="214"/>
    </row>
    <row r="130" spans="1:14" s="1" customFormat="1" ht="15" customHeight="1">
      <c r="A130" s="1224"/>
      <c r="B130" s="1249"/>
      <c r="C130" s="1226"/>
      <c r="D130" s="1451"/>
      <c r="E130" s="1335"/>
      <c r="F130" s="115"/>
      <c r="G130" s="103"/>
      <c r="H130" s="103"/>
      <c r="I130" s="99"/>
      <c r="J130" s="881" t="s">
        <v>312</v>
      </c>
      <c r="K130" s="791"/>
      <c r="L130" s="791"/>
      <c r="M130" s="273">
        <v>15</v>
      </c>
    </row>
    <row r="131" spans="1:14" s="1" customFormat="1" ht="18" customHeight="1" thickBot="1">
      <c r="A131" s="1236"/>
      <c r="B131" s="1250"/>
      <c r="C131" s="251"/>
      <c r="D131" s="1177"/>
      <c r="E131" s="571"/>
      <c r="F131" s="1334" t="s">
        <v>47</v>
      </c>
      <c r="G131" s="105">
        <f>SUM(G119:G130)</f>
        <v>553.5</v>
      </c>
      <c r="H131" s="105">
        <f>SUM(H119:H130)</f>
        <v>469.8</v>
      </c>
      <c r="I131" s="107">
        <f>SUM(I119:I130)</f>
        <v>458.6</v>
      </c>
      <c r="J131" s="1229"/>
      <c r="K131" s="1175"/>
      <c r="L131" s="1175"/>
      <c r="M131" s="1176"/>
    </row>
    <row r="132" spans="1:14" s="1" customFormat="1" ht="14.25" customHeight="1" thickBot="1">
      <c r="A132" s="1236" t="s">
        <v>13</v>
      </c>
      <c r="B132" s="1250" t="s">
        <v>21</v>
      </c>
      <c r="C132" s="1461" t="s">
        <v>68</v>
      </c>
      <c r="D132" s="1462"/>
      <c r="E132" s="1462"/>
      <c r="F132" s="1462"/>
      <c r="G132" s="338">
        <f t="shared" ref="G132:I132" si="10">G131</f>
        <v>553.5</v>
      </c>
      <c r="H132" s="338">
        <f t="shared" si="10"/>
        <v>469.8</v>
      </c>
      <c r="I132" s="338">
        <f t="shared" si="10"/>
        <v>458.6</v>
      </c>
      <c r="J132" s="41"/>
      <c r="K132" s="168"/>
      <c r="L132" s="168"/>
      <c r="M132" s="42"/>
    </row>
    <row r="133" spans="1:14" s="1" customFormat="1" ht="17.25" customHeight="1" thickBot="1">
      <c r="A133" s="43" t="s">
        <v>13</v>
      </c>
      <c r="B133" s="44" t="s">
        <v>25</v>
      </c>
      <c r="C133" s="1463" t="s">
        <v>130</v>
      </c>
      <c r="D133" s="1464"/>
      <c r="E133" s="1464"/>
      <c r="F133" s="1464"/>
      <c r="G133" s="1464"/>
      <c r="H133" s="1464"/>
      <c r="I133" s="1464"/>
      <c r="J133" s="1464"/>
      <c r="K133" s="1464"/>
      <c r="L133" s="1464"/>
      <c r="M133" s="1466"/>
    </row>
    <row r="134" spans="1:14" s="1" customFormat="1" ht="12" customHeight="1">
      <c r="A134" s="1267" t="s">
        <v>13</v>
      </c>
      <c r="B134" s="1268" t="s">
        <v>25</v>
      </c>
      <c r="C134" s="1269" t="s">
        <v>13</v>
      </c>
      <c r="D134" s="1525" t="s">
        <v>314</v>
      </c>
      <c r="E134" s="458"/>
      <c r="F134" s="1275" t="s">
        <v>19</v>
      </c>
      <c r="G134" s="134">
        <v>39</v>
      </c>
      <c r="H134" s="134">
        <v>128.5</v>
      </c>
      <c r="I134" s="134">
        <v>102.5</v>
      </c>
      <c r="J134" s="564"/>
      <c r="K134" s="1283"/>
      <c r="L134" s="397"/>
      <c r="M134" s="1245"/>
    </row>
    <row r="135" spans="1:14" s="1" customFormat="1" ht="12" customHeight="1">
      <c r="A135" s="1260"/>
      <c r="B135" s="1261"/>
      <c r="C135" s="1262"/>
      <c r="D135" s="1526"/>
      <c r="E135" s="124"/>
      <c r="F135" s="1279" t="s">
        <v>110</v>
      </c>
      <c r="G135" s="99">
        <v>7.9</v>
      </c>
      <c r="H135" s="99"/>
      <c r="I135" s="99"/>
      <c r="J135" s="1308"/>
      <c r="K135" s="1284"/>
      <c r="L135" s="398"/>
      <c r="M135" s="1246"/>
    </row>
    <row r="136" spans="1:14" s="1" customFormat="1" ht="12" customHeight="1">
      <c r="A136" s="1260"/>
      <c r="B136" s="1261"/>
      <c r="C136" s="1262"/>
      <c r="D136" s="1527"/>
      <c r="E136" s="124"/>
      <c r="F136" s="1282" t="s">
        <v>131</v>
      </c>
      <c r="G136" s="103">
        <v>165</v>
      </c>
      <c r="H136" s="103">
        <v>168.4</v>
      </c>
      <c r="I136" s="103">
        <v>113.8</v>
      </c>
      <c r="J136" s="1309"/>
      <c r="K136" s="162"/>
      <c r="L136" s="173"/>
      <c r="M136" s="193"/>
    </row>
    <row r="137" spans="1:14" s="4" customFormat="1" ht="17.25" customHeight="1">
      <c r="A137" s="1442"/>
      <c r="B137" s="1445"/>
      <c r="C137" s="1448"/>
      <c r="D137" s="1477" t="s">
        <v>164</v>
      </c>
      <c r="E137" s="1336" t="s">
        <v>267</v>
      </c>
      <c r="F137" s="49"/>
      <c r="G137" s="99"/>
      <c r="H137" s="99"/>
      <c r="I137" s="99"/>
      <c r="J137" s="1134" t="s">
        <v>210</v>
      </c>
      <c r="K137" s="1284"/>
      <c r="L137" s="398"/>
      <c r="M137" s="1246">
        <v>7</v>
      </c>
      <c r="N137" s="1641"/>
    </row>
    <row r="138" spans="1:14" s="4" customFormat="1" ht="15" customHeight="1">
      <c r="A138" s="1442"/>
      <c r="B138" s="1445"/>
      <c r="C138" s="1448"/>
      <c r="D138" s="1648"/>
      <c r="E138" s="1291" t="s">
        <v>202</v>
      </c>
      <c r="F138" s="49"/>
      <c r="G138" s="99"/>
      <c r="H138" s="99"/>
      <c r="I138" s="99"/>
      <c r="J138" s="1194" t="s">
        <v>133</v>
      </c>
      <c r="K138" s="468">
        <v>66</v>
      </c>
      <c r="L138" s="343">
        <v>150</v>
      </c>
      <c r="M138" s="344">
        <v>50</v>
      </c>
      <c r="N138" s="1642"/>
    </row>
    <row r="139" spans="1:14" s="4" customFormat="1" ht="27" customHeight="1">
      <c r="A139" s="1442"/>
      <c r="B139" s="1445"/>
      <c r="C139" s="1448"/>
      <c r="D139" s="1648"/>
      <c r="E139" s="1291" t="s">
        <v>299</v>
      </c>
      <c r="F139" s="49"/>
      <c r="G139" s="99"/>
      <c r="H139" s="99"/>
      <c r="I139" s="99"/>
      <c r="J139" s="1192" t="s">
        <v>134</v>
      </c>
      <c r="K139" s="999"/>
      <c r="L139" s="468"/>
      <c r="M139" s="344">
        <v>20</v>
      </c>
      <c r="N139" s="1642"/>
    </row>
    <row r="140" spans="1:14" s="4" customFormat="1" ht="13.5" customHeight="1">
      <c r="A140" s="1442"/>
      <c r="B140" s="1445"/>
      <c r="C140" s="1448"/>
      <c r="D140" s="1477" t="s">
        <v>211</v>
      </c>
      <c r="E140" s="1337" t="s">
        <v>267</v>
      </c>
      <c r="F140" s="972"/>
      <c r="G140" s="98"/>
      <c r="H140" s="98"/>
      <c r="I140" s="98"/>
      <c r="J140" s="561" t="s">
        <v>140</v>
      </c>
      <c r="K140" s="562"/>
      <c r="L140" s="164">
        <v>1</v>
      </c>
      <c r="M140" s="192"/>
    </row>
    <row r="141" spans="1:14" s="4" customFormat="1" ht="14.25" customHeight="1">
      <c r="A141" s="1442"/>
      <c r="B141" s="1445"/>
      <c r="C141" s="1448"/>
      <c r="D141" s="1545"/>
      <c r="E141" s="1338" t="s">
        <v>202</v>
      </c>
      <c r="F141" s="347"/>
      <c r="G141" s="103"/>
      <c r="H141" s="103"/>
      <c r="I141" s="103"/>
      <c r="J141" s="1023" t="s">
        <v>259</v>
      </c>
      <c r="K141" s="341"/>
      <c r="L141" s="469">
        <v>200</v>
      </c>
      <c r="M141" s="342"/>
    </row>
    <row r="142" spans="1:14" s="4" customFormat="1" ht="15.75" customHeight="1">
      <c r="A142" s="1442"/>
      <c r="B142" s="1445"/>
      <c r="C142" s="1448"/>
      <c r="D142" s="1643" t="s">
        <v>277</v>
      </c>
      <c r="E142" s="1644" t="s">
        <v>267</v>
      </c>
      <c r="F142" s="1645"/>
      <c r="G142" s="1646"/>
      <c r="H142" s="1646"/>
      <c r="I142" s="1646"/>
      <c r="J142" s="561" t="s">
        <v>275</v>
      </c>
      <c r="K142" s="562">
        <v>1</v>
      </c>
      <c r="L142" s="176"/>
      <c r="M142" s="192"/>
    </row>
    <row r="143" spans="1:14" s="4" customFormat="1" ht="14.25" customHeight="1">
      <c r="A143" s="1442"/>
      <c r="B143" s="1445"/>
      <c r="C143" s="1448"/>
      <c r="D143" s="1643"/>
      <c r="E143" s="1644"/>
      <c r="F143" s="1645"/>
      <c r="G143" s="1646"/>
      <c r="H143" s="1646"/>
      <c r="I143" s="1646"/>
      <c r="J143" s="1023" t="s">
        <v>276</v>
      </c>
      <c r="K143" s="341"/>
      <c r="L143" s="341">
        <v>1</v>
      </c>
      <c r="M143" s="342">
        <v>2</v>
      </c>
    </row>
    <row r="144" spans="1:14" s="4" customFormat="1" ht="27" customHeight="1">
      <c r="A144" s="1442"/>
      <c r="B144" s="1445"/>
      <c r="C144" s="1448"/>
      <c r="D144" s="1339" t="s">
        <v>283</v>
      </c>
      <c r="E144" s="1340" t="s">
        <v>267</v>
      </c>
      <c r="F144" s="1290"/>
      <c r="G144" s="1286"/>
      <c r="H144" s="1286"/>
      <c r="I144" s="1286"/>
      <c r="J144" s="1185" t="s">
        <v>284</v>
      </c>
      <c r="K144" s="1187">
        <v>1</v>
      </c>
      <c r="L144" s="1187"/>
      <c r="M144" s="1188"/>
    </row>
    <row r="145" spans="1:14" s="1" customFormat="1" ht="17.25" customHeight="1" thickBot="1">
      <c r="A145" s="1442"/>
      <c r="B145" s="1445"/>
      <c r="C145" s="1448"/>
      <c r="D145" s="1097"/>
      <c r="E145" s="467"/>
      <c r="F145" s="1341" t="s">
        <v>47</v>
      </c>
      <c r="G145" s="270">
        <f>SUM(G134:G144)</f>
        <v>211.9</v>
      </c>
      <c r="H145" s="270">
        <f>SUM(H134:H144)</f>
        <v>296.89999999999998</v>
      </c>
      <c r="I145" s="270">
        <f>SUM(I134:I144)</f>
        <v>216.3</v>
      </c>
      <c r="J145" s="1228"/>
      <c r="K145" s="1008"/>
      <c r="L145" s="1008"/>
      <c r="M145" s="1098"/>
    </row>
    <row r="146" spans="1:14" s="1" customFormat="1" ht="13.5" thickBot="1">
      <c r="A146" s="43" t="s">
        <v>13</v>
      </c>
      <c r="B146" s="1342" t="s">
        <v>25</v>
      </c>
      <c r="C146" s="1418" t="s">
        <v>68</v>
      </c>
      <c r="D146" s="1419"/>
      <c r="E146" s="1419"/>
      <c r="F146" s="1419"/>
      <c r="G146" s="116">
        <f>G145</f>
        <v>211.9</v>
      </c>
      <c r="H146" s="116">
        <f t="shared" ref="H146:I146" si="11">H145</f>
        <v>296.89999999999998</v>
      </c>
      <c r="I146" s="116">
        <f t="shared" si="11"/>
        <v>216.3</v>
      </c>
      <c r="J146" s="1343"/>
      <c r="K146" s="255"/>
      <c r="L146" s="255"/>
      <c r="M146" s="423"/>
    </row>
    <row r="147" spans="1:14" s="1" customFormat="1" ht="16.5" customHeight="1" thickBot="1">
      <c r="A147" s="43" t="s">
        <v>13</v>
      </c>
      <c r="B147" s="245" t="s">
        <v>27</v>
      </c>
      <c r="C147" s="1463" t="s">
        <v>71</v>
      </c>
      <c r="D147" s="1464"/>
      <c r="E147" s="1464"/>
      <c r="F147" s="1464"/>
      <c r="G147" s="1639"/>
      <c r="H147" s="1639"/>
      <c r="I147" s="1639"/>
      <c r="J147" s="1464"/>
      <c r="K147" s="1464"/>
      <c r="L147" s="1464"/>
      <c r="M147" s="1466"/>
    </row>
    <row r="148" spans="1:14" s="1" customFormat="1" ht="13.5" customHeight="1">
      <c r="A148" s="1235" t="s">
        <v>13</v>
      </c>
      <c r="B148" s="1268" t="s">
        <v>27</v>
      </c>
      <c r="C148" s="1237" t="s">
        <v>13</v>
      </c>
      <c r="D148" s="1525" t="s">
        <v>72</v>
      </c>
      <c r="E148" s="372"/>
      <c r="F148" s="261" t="s">
        <v>19</v>
      </c>
      <c r="G148" s="262">
        <v>0</v>
      </c>
      <c r="H148" s="262">
        <v>117.8</v>
      </c>
      <c r="I148" s="262">
        <v>277.8</v>
      </c>
      <c r="J148" s="1227"/>
      <c r="K148" s="397"/>
      <c r="L148" s="1242"/>
      <c r="M148" s="1245"/>
    </row>
    <row r="149" spans="1:14" s="1" customFormat="1" ht="13.5" customHeight="1">
      <c r="A149" s="1224"/>
      <c r="B149" s="1261"/>
      <c r="C149" s="1238"/>
      <c r="D149" s="1526"/>
      <c r="E149" s="73"/>
      <c r="F149" s="19" t="s">
        <v>23</v>
      </c>
      <c r="G149" s="220">
        <v>65</v>
      </c>
      <c r="H149" s="220">
        <v>107.2</v>
      </c>
      <c r="I149" s="220">
        <v>107.2</v>
      </c>
      <c r="J149" s="1228"/>
      <c r="K149" s="398"/>
      <c r="L149" s="1243"/>
      <c r="M149" s="1246"/>
    </row>
    <row r="150" spans="1:14" s="1" customFormat="1" ht="13.5" customHeight="1">
      <c r="A150" s="1224"/>
      <c r="B150" s="1261"/>
      <c r="C150" s="1238"/>
      <c r="D150" s="636"/>
      <c r="E150" s="73"/>
      <c r="F150" s="19" t="s">
        <v>110</v>
      </c>
      <c r="G150" s="220">
        <v>37.9</v>
      </c>
      <c r="H150" s="221"/>
      <c r="I150" s="220"/>
      <c r="J150" s="1228"/>
      <c r="K150" s="398"/>
      <c r="L150" s="1243"/>
      <c r="M150" s="1246"/>
    </row>
    <row r="151" spans="1:14" s="1" customFormat="1" ht="9.75" customHeight="1">
      <c r="A151" s="1224"/>
      <c r="B151" s="1249"/>
      <c r="C151" s="1238"/>
      <c r="D151" s="1436" t="s">
        <v>315</v>
      </c>
      <c r="E151" s="73"/>
      <c r="F151" s="25"/>
      <c r="G151" s="218"/>
      <c r="H151" s="219"/>
      <c r="I151" s="218"/>
      <c r="J151" s="1636" t="s">
        <v>285</v>
      </c>
      <c r="K151" s="248">
        <v>30</v>
      </c>
      <c r="L151" s="729">
        <v>40</v>
      </c>
      <c r="M151" s="274">
        <v>60</v>
      </c>
      <c r="N151" s="271"/>
    </row>
    <row r="152" spans="1:14" s="1" customFormat="1" ht="17.25" customHeight="1">
      <c r="A152" s="1224"/>
      <c r="B152" s="1249"/>
      <c r="C152" s="1238"/>
      <c r="D152" s="1437"/>
      <c r="E152" s="1344"/>
      <c r="F152" s="22"/>
      <c r="G152" s="223"/>
      <c r="H152" s="1152"/>
      <c r="I152" s="223"/>
      <c r="J152" s="1637"/>
      <c r="K152" s="1202"/>
      <c r="L152" s="1203"/>
      <c r="M152" s="1204"/>
      <c r="N152" s="271"/>
    </row>
    <row r="153" spans="1:14" s="1" customFormat="1" ht="16.5" customHeight="1">
      <c r="A153" s="1224"/>
      <c r="B153" s="1249"/>
      <c r="C153" s="1238"/>
      <c r="D153" s="1635" t="s">
        <v>147</v>
      </c>
      <c r="E153" s="73"/>
      <c r="F153" s="19"/>
      <c r="G153" s="220"/>
      <c r="H153" s="142"/>
      <c r="I153" s="220"/>
      <c r="J153" s="1265" t="s">
        <v>258</v>
      </c>
      <c r="K153" s="248">
        <v>1</v>
      </c>
      <c r="L153" s="729"/>
      <c r="M153" s="274"/>
      <c r="N153" s="271"/>
    </row>
    <row r="154" spans="1:14" s="1" customFormat="1" ht="25.5" customHeight="1">
      <c r="A154" s="1224"/>
      <c r="B154" s="1249"/>
      <c r="C154" s="1238"/>
      <c r="D154" s="1521"/>
      <c r="E154" s="73"/>
      <c r="F154" s="22"/>
      <c r="G154" s="220"/>
      <c r="H154" s="142"/>
      <c r="I154" s="220"/>
      <c r="J154" s="1093" t="s">
        <v>156</v>
      </c>
      <c r="K154" s="1019"/>
      <c r="L154" s="1196"/>
      <c r="M154" s="1205">
        <v>40</v>
      </c>
      <c r="N154" s="271"/>
    </row>
    <row r="155" spans="1:14" s="1" customFormat="1" ht="13.5" customHeight="1">
      <c r="A155" s="1224"/>
      <c r="B155" s="1249"/>
      <c r="C155" s="1238"/>
      <c r="D155" s="1513" t="s">
        <v>157</v>
      </c>
      <c r="E155" s="1200"/>
      <c r="F155" s="19"/>
      <c r="G155" s="218"/>
      <c r="H155" s="225"/>
      <c r="I155" s="218"/>
      <c r="J155" s="1278" t="s">
        <v>153</v>
      </c>
      <c r="K155" s="248">
        <v>90</v>
      </c>
      <c r="L155" s="1085" t="s">
        <v>181</v>
      </c>
      <c r="M155" s="412" t="s">
        <v>181</v>
      </c>
    </row>
    <row r="156" spans="1:14" s="1" customFormat="1" ht="14.25" customHeight="1">
      <c r="A156" s="1224"/>
      <c r="B156" s="1249"/>
      <c r="C156" s="1238"/>
      <c r="D156" s="1557"/>
      <c r="E156" s="1200"/>
      <c r="F156" s="19"/>
      <c r="G156" s="220"/>
      <c r="H156" s="142"/>
      <c r="I156" s="220"/>
      <c r="J156" s="1252" t="s">
        <v>182</v>
      </c>
      <c r="K156" s="264">
        <v>15</v>
      </c>
      <c r="L156" s="1087"/>
      <c r="M156" s="413"/>
      <c r="N156" s="271"/>
    </row>
    <row r="157" spans="1:14" s="1" customFormat="1" ht="25.5" customHeight="1">
      <c r="A157" s="1224"/>
      <c r="B157" s="1249"/>
      <c r="C157" s="1238"/>
      <c r="D157" s="1640"/>
      <c r="E157" s="1201"/>
      <c r="F157" s="22"/>
      <c r="G157" s="223"/>
      <c r="H157" s="184"/>
      <c r="I157" s="223"/>
      <c r="J157" s="881" t="s">
        <v>191</v>
      </c>
      <c r="K157" s="206">
        <v>1</v>
      </c>
      <c r="L157" s="994"/>
      <c r="M157" s="514"/>
      <c r="N157" s="271"/>
    </row>
    <row r="158" spans="1:14" s="1" customFormat="1" ht="14.25" customHeight="1">
      <c r="A158" s="1224"/>
      <c r="B158" s="1249"/>
      <c r="C158" s="1238"/>
      <c r="D158" s="1635" t="s">
        <v>188</v>
      </c>
      <c r="E158" s="73"/>
      <c r="F158" s="19"/>
      <c r="G158" s="220"/>
      <c r="H158" s="142"/>
      <c r="I158" s="220"/>
      <c r="J158" s="1636" t="s">
        <v>155</v>
      </c>
      <c r="K158" s="264">
        <v>100</v>
      </c>
      <c r="L158" s="1005"/>
      <c r="M158" s="274"/>
      <c r="N158" s="271"/>
    </row>
    <row r="159" spans="1:14" s="1" customFormat="1" ht="15" customHeight="1">
      <c r="A159" s="1224"/>
      <c r="B159" s="1249"/>
      <c r="C159" s="1238"/>
      <c r="D159" s="1635"/>
      <c r="E159" s="73"/>
      <c r="F159" s="22"/>
      <c r="G159" s="223"/>
      <c r="H159" s="184"/>
      <c r="I159" s="223"/>
      <c r="J159" s="1637"/>
      <c r="K159" s="206"/>
      <c r="L159" s="1011"/>
      <c r="M159" s="273"/>
      <c r="N159" s="271"/>
    </row>
    <row r="160" spans="1:14" s="1" customFormat="1" ht="17.25" customHeight="1" thickBot="1">
      <c r="A160" s="1236"/>
      <c r="B160" s="1250"/>
      <c r="C160" s="251"/>
      <c r="D160" s="1177"/>
      <c r="E160" s="571"/>
      <c r="F160" s="1334" t="s">
        <v>47</v>
      </c>
      <c r="G160" s="105">
        <f>SUM(G148:G159)</f>
        <v>102.9</v>
      </c>
      <c r="H160" s="105">
        <f t="shared" ref="H160:I160" si="12">SUM(H148:H159)</f>
        <v>225</v>
      </c>
      <c r="I160" s="105">
        <f t="shared" si="12"/>
        <v>385</v>
      </c>
      <c r="J160" s="1229"/>
      <c r="K160" s="1175"/>
      <c r="L160" s="1175"/>
      <c r="M160" s="1176"/>
    </row>
    <row r="161" spans="1:14" s="4" customFormat="1" ht="15" customHeight="1">
      <c r="A161" s="1442" t="s">
        <v>13</v>
      </c>
      <c r="B161" s="1445" t="s">
        <v>27</v>
      </c>
      <c r="C161" s="1448" t="s">
        <v>21</v>
      </c>
      <c r="D161" s="1437" t="s">
        <v>286</v>
      </c>
      <c r="E161" s="1454"/>
      <c r="F161" s="465" t="s">
        <v>19</v>
      </c>
      <c r="G161" s="99"/>
      <c r="H161" s="99"/>
      <c r="I161" s="99"/>
      <c r="J161" s="1263"/>
      <c r="K161" s="1348"/>
      <c r="L161" s="1349"/>
      <c r="M161" s="1350"/>
      <c r="N161" s="28"/>
    </row>
    <row r="162" spans="1:14" s="4" customFormat="1" ht="10.5" customHeight="1">
      <c r="A162" s="1442"/>
      <c r="B162" s="1445"/>
      <c r="C162" s="1448"/>
      <c r="D162" s="1437"/>
      <c r="E162" s="1454"/>
      <c r="F162" s="465"/>
      <c r="G162" s="99"/>
      <c r="H162" s="99"/>
      <c r="I162" s="99"/>
      <c r="J162" s="1459"/>
      <c r="K162" s="183"/>
      <c r="L162" s="793"/>
      <c r="M162" s="358"/>
    </row>
    <row r="163" spans="1:14" s="1" customFormat="1" ht="21" customHeight="1" thickBot="1">
      <c r="A163" s="1443"/>
      <c r="B163" s="1446"/>
      <c r="C163" s="1449"/>
      <c r="D163" s="1638"/>
      <c r="E163" s="1455"/>
      <c r="F163" s="685" t="s">
        <v>47</v>
      </c>
      <c r="G163" s="107">
        <f t="shared" ref="G163:I163" si="13">G162+G161</f>
        <v>0</v>
      </c>
      <c r="H163" s="107">
        <f t="shared" si="13"/>
        <v>0</v>
      </c>
      <c r="I163" s="107">
        <f t="shared" si="13"/>
        <v>0</v>
      </c>
      <c r="J163" s="1460"/>
      <c r="K163" s="399"/>
      <c r="L163" s="1244"/>
      <c r="M163" s="1247"/>
    </row>
    <row r="164" spans="1:14" s="1" customFormat="1" ht="13.5" thickBot="1">
      <c r="A164" s="43" t="s">
        <v>13</v>
      </c>
      <c r="B164" s="47" t="s">
        <v>27</v>
      </c>
      <c r="C164" s="1418" t="s">
        <v>68</v>
      </c>
      <c r="D164" s="1419"/>
      <c r="E164" s="1419"/>
      <c r="F164" s="1419"/>
      <c r="G164" s="116">
        <f>G163+G160</f>
        <v>102.9</v>
      </c>
      <c r="H164" s="116">
        <f t="shared" ref="H164:I164" si="14">H163+H160</f>
        <v>225</v>
      </c>
      <c r="I164" s="116">
        <f t="shared" si="14"/>
        <v>385</v>
      </c>
      <c r="J164" s="1421"/>
      <c r="K164" s="1422"/>
      <c r="L164" s="1422"/>
      <c r="M164" s="1423"/>
    </row>
    <row r="165" spans="1:14" s="4" customFormat="1" ht="13.5" thickBot="1">
      <c r="A165" s="43" t="s">
        <v>13</v>
      </c>
      <c r="B165" s="1424" t="s">
        <v>73</v>
      </c>
      <c r="C165" s="1425"/>
      <c r="D165" s="1425"/>
      <c r="E165" s="1425"/>
      <c r="F165" s="1426"/>
      <c r="G165" s="439">
        <f>SUM(G164,G132,G117,G146,)</f>
        <v>16008.9</v>
      </c>
      <c r="H165" s="454">
        <f>SUM(H164,H132,H117,H146,)</f>
        <v>13754.4</v>
      </c>
      <c r="I165" s="439">
        <f>SUM(I164,I132,I117,I146,)</f>
        <v>14648.6</v>
      </c>
      <c r="J165" s="1427"/>
      <c r="K165" s="1428"/>
      <c r="L165" s="1428"/>
      <c r="M165" s="1429"/>
    </row>
    <row r="166" spans="1:14" s="4" customFormat="1" ht="13.5" thickBot="1">
      <c r="A166" s="53" t="s">
        <v>25</v>
      </c>
      <c r="B166" s="1430" t="s">
        <v>74</v>
      </c>
      <c r="C166" s="1431"/>
      <c r="D166" s="1431"/>
      <c r="E166" s="1431"/>
      <c r="F166" s="1432"/>
      <c r="G166" s="203">
        <f t="shared" ref="G166:I166" si="15">G165</f>
        <v>16008.9</v>
      </c>
      <c r="H166" s="185">
        <f t="shared" si="15"/>
        <v>13754.4</v>
      </c>
      <c r="I166" s="203">
        <f t="shared" si="15"/>
        <v>14648.6</v>
      </c>
      <c r="J166" s="1433"/>
      <c r="K166" s="1434"/>
      <c r="L166" s="1434"/>
      <c r="M166" s="1435"/>
    </row>
    <row r="167" spans="1:14" s="28" customFormat="1" ht="12.75">
      <c r="A167" s="1634"/>
      <c r="B167" s="1634"/>
      <c r="C167" s="1634"/>
      <c r="D167" s="1634"/>
      <c r="E167" s="1634"/>
      <c r="F167" s="1634"/>
      <c r="G167" s="1634"/>
      <c r="H167" s="1634"/>
      <c r="I167" s="199"/>
      <c r="J167" s="133"/>
      <c r="K167" s="133"/>
      <c r="L167" s="133"/>
      <c r="M167" s="133"/>
    </row>
    <row r="168" spans="1:14" s="28" customFormat="1" ht="12.75">
      <c r="A168" s="133"/>
      <c r="B168" s="54"/>
      <c r="C168" s="54"/>
      <c r="D168" s="54"/>
      <c r="E168" s="54"/>
      <c r="F168" s="133"/>
      <c r="G168" s="199"/>
      <c r="H168" s="199"/>
      <c r="I168" s="199"/>
      <c r="J168" s="133"/>
      <c r="K168" s="133"/>
      <c r="L168" s="133"/>
      <c r="M168" s="133"/>
    </row>
    <row r="169" spans="1:14" s="4" customFormat="1" ht="15.75" customHeight="1">
      <c r="A169" s="38"/>
      <c r="B169" s="54"/>
      <c r="C169" s="1406" t="s">
        <v>75</v>
      </c>
      <c r="D169" s="1406"/>
      <c r="E169" s="1406"/>
      <c r="F169" s="1406"/>
      <c r="G169" s="1266"/>
      <c r="H169" s="1266"/>
      <c r="I169" s="1266"/>
      <c r="J169" s="48"/>
      <c r="K169" s="1231"/>
      <c r="L169" s="1231"/>
      <c r="M169" s="1231"/>
    </row>
    <row r="170" spans="1:14" s="4" customFormat="1" ht="12" customHeight="1" thickBot="1">
      <c r="A170" s="38"/>
      <c r="B170" s="35"/>
      <c r="C170" s="35"/>
      <c r="D170" s="35"/>
      <c r="E170" s="55"/>
      <c r="F170" s="1231"/>
      <c r="G170" s="48"/>
      <c r="H170" s="48"/>
      <c r="I170" s="48"/>
      <c r="J170" s="48"/>
      <c r="K170" s="1231"/>
      <c r="L170" s="1231"/>
      <c r="M170" s="1231"/>
    </row>
    <row r="171" spans="1:14" s="4" customFormat="1" ht="57" customHeight="1" thickBot="1">
      <c r="A171" s="57"/>
      <c r="B171" s="57"/>
      <c r="C171" s="1407" t="s">
        <v>76</v>
      </c>
      <c r="D171" s="1408"/>
      <c r="E171" s="1408"/>
      <c r="F171" s="1409"/>
      <c r="G171" s="573" t="s">
        <v>229</v>
      </c>
      <c r="H171" s="573" t="s">
        <v>161</v>
      </c>
      <c r="I171" s="573" t="s">
        <v>230</v>
      </c>
      <c r="J171" s="38"/>
      <c r="K171" s="56"/>
      <c r="L171" s="56"/>
      <c r="M171" s="56"/>
    </row>
    <row r="172" spans="1:14" s="4" customFormat="1" ht="12.75">
      <c r="A172" s="57"/>
      <c r="B172" s="57"/>
      <c r="C172" s="1410" t="s">
        <v>77</v>
      </c>
      <c r="D172" s="1411"/>
      <c r="E172" s="1411"/>
      <c r="F172" s="1412"/>
      <c r="G172" s="120">
        <f>G173+G181+G182+G183+G184+G180</f>
        <v>15843.900000000001</v>
      </c>
      <c r="H172" s="120">
        <f t="shared" ref="H172:I172" si="16">H173+H181+H182+H183+H184</f>
        <v>13586</v>
      </c>
      <c r="I172" s="120">
        <f t="shared" si="16"/>
        <v>14534.800000000001</v>
      </c>
      <c r="J172" s="133"/>
      <c r="K172" s="133"/>
      <c r="L172" s="133"/>
      <c r="M172" s="133"/>
    </row>
    <row r="173" spans="1:14" s="4" customFormat="1" ht="12.75" customHeight="1">
      <c r="A173" s="57"/>
      <c r="B173" s="57"/>
      <c r="C173" s="1413" t="s">
        <v>78</v>
      </c>
      <c r="D173" s="1414"/>
      <c r="E173" s="1414"/>
      <c r="F173" s="1415"/>
      <c r="G173" s="121">
        <f>SUM(G174:G179)</f>
        <v>15442.800000000001</v>
      </c>
      <c r="H173" s="121">
        <f t="shared" ref="H173:I173" si="17">SUM(H174:H180)</f>
        <v>13586</v>
      </c>
      <c r="I173" s="121">
        <f t="shared" si="17"/>
        <v>14534.800000000001</v>
      </c>
      <c r="J173" s="133"/>
      <c r="K173" s="133"/>
      <c r="L173" s="133"/>
      <c r="M173" s="133"/>
    </row>
    <row r="174" spans="1:14" s="4" customFormat="1" ht="12.75" customHeight="1">
      <c r="A174" s="57"/>
      <c r="B174" s="57"/>
      <c r="C174" s="1393" t="s">
        <v>79</v>
      </c>
      <c r="D174" s="1394"/>
      <c r="E174" s="1394"/>
      <c r="F174" s="1395"/>
      <c r="G174" s="122">
        <f>SUMIF(F17:F166,"SB",G17:G166)</f>
        <v>14651.7</v>
      </c>
      <c r="H174" s="122">
        <f>SUMIF(F17:F166,"SB",H17:H166)</f>
        <v>12804.9</v>
      </c>
      <c r="I174" s="122">
        <f>SUMIF(F17:F166,"SB",I17:I166)</f>
        <v>13753.7</v>
      </c>
      <c r="J174" s="38"/>
      <c r="K174" s="56"/>
      <c r="L174" s="56"/>
      <c r="M174" s="56"/>
    </row>
    <row r="175" spans="1:14" s="4" customFormat="1" ht="12.75" customHeight="1">
      <c r="A175" s="57"/>
      <c r="B175" s="57"/>
      <c r="C175" s="1403" t="s">
        <v>80</v>
      </c>
      <c r="D175" s="1416"/>
      <c r="E175" s="1416"/>
      <c r="F175" s="1417"/>
      <c r="G175" s="122">
        <f>SUMIF(F17:F166,"SB(VR)",G17:G166)</f>
        <v>10</v>
      </c>
      <c r="H175" s="122">
        <f>SUMIF(F17:F166,"SB(VR)",H17:H166)</f>
        <v>0</v>
      </c>
      <c r="I175" s="122">
        <f>SUMIF(F17:F166,"SB(VR)",I17:I166)</f>
        <v>0</v>
      </c>
      <c r="J175" s="38"/>
      <c r="K175" s="56"/>
      <c r="L175" s="56"/>
      <c r="M175" s="56"/>
    </row>
    <row r="176" spans="1:14" s="4" customFormat="1" ht="24" customHeight="1">
      <c r="A176" s="57"/>
      <c r="B176" s="57"/>
      <c r="C176" s="1396" t="s">
        <v>81</v>
      </c>
      <c r="D176" s="1397"/>
      <c r="E176" s="1397"/>
      <c r="F176" s="1398"/>
      <c r="G176" s="122">
        <f>SUMIF(F16:F166,"SB(VB)",G16:G166)</f>
        <v>581.1</v>
      </c>
      <c r="H176" s="122">
        <f>SUMIF(F16:F166,"SB(VB)",H16:H166)</f>
        <v>581.1</v>
      </c>
      <c r="I176" s="122">
        <f>SUMIF(F16:F166,"SB(VB)",I16:I166)</f>
        <v>581.1</v>
      </c>
      <c r="J176" s="38"/>
      <c r="K176" s="56"/>
      <c r="L176" s="56"/>
      <c r="M176" s="56"/>
    </row>
    <row r="177" spans="1:13" s="4" customFormat="1" ht="12.75" customHeight="1">
      <c r="A177" s="57"/>
      <c r="B177" s="57"/>
      <c r="C177" s="1396" t="s">
        <v>82</v>
      </c>
      <c r="D177" s="1397"/>
      <c r="E177" s="1397"/>
      <c r="F177" s="1398"/>
      <c r="G177" s="122">
        <f>SUMIF(F16:F166,"SB(P)",G16:G166)</f>
        <v>0</v>
      </c>
      <c r="H177" s="122">
        <f>SUMIF(F16:F166,"SB(P)",H16:H166)</f>
        <v>0</v>
      </c>
      <c r="I177" s="122">
        <f>SUMIF(F16:F166,"SB(P)",I16:I166)</f>
        <v>0</v>
      </c>
      <c r="J177" s="48"/>
      <c r="K177" s="1231"/>
      <c r="L177" s="1231"/>
      <c r="M177" s="1231"/>
    </row>
    <row r="178" spans="1:13" s="1" customFormat="1" ht="12.75" customHeight="1">
      <c r="A178" s="57"/>
      <c r="B178" s="57"/>
      <c r="C178" s="1399" t="s">
        <v>83</v>
      </c>
      <c r="D178" s="1400"/>
      <c r="E178" s="1400"/>
      <c r="F178" s="1401"/>
      <c r="G178" s="730">
        <f>SUMIF(F17:F166,"SB(SP)",G17:G166)</f>
        <v>200</v>
      </c>
      <c r="H178" s="730">
        <f>SUMIF(F17:F166,"SB(SP)",H17:H166)</f>
        <v>200</v>
      </c>
      <c r="I178" s="122">
        <f>SUMIF(F17:F166,"SB(SP)",I17:I166)</f>
        <v>200</v>
      </c>
      <c r="J178" s="57"/>
      <c r="K178" s="58"/>
      <c r="L178" s="58"/>
      <c r="M178" s="58"/>
    </row>
    <row r="179" spans="1:13" s="1" customFormat="1" ht="26.25" customHeight="1">
      <c r="A179" s="57"/>
      <c r="B179" s="57"/>
      <c r="C179" s="1390" t="s">
        <v>215</v>
      </c>
      <c r="D179" s="1402"/>
      <c r="E179" s="1402"/>
      <c r="F179" s="1402"/>
      <c r="G179" s="75">
        <f>SUMIF(F16:F166,"SB(ES)",G16:G166)</f>
        <v>0</v>
      </c>
      <c r="H179" s="75">
        <f>SUMIF(F16:F166,"SB(ES)",H16:H166)</f>
        <v>0</v>
      </c>
      <c r="I179" s="75">
        <f>SUMIF(F16:F166,"SB(ES)",I16:I166)</f>
        <v>0</v>
      </c>
      <c r="J179" s="57"/>
      <c r="K179" s="58"/>
      <c r="L179" s="58"/>
      <c r="M179" s="58"/>
    </row>
    <row r="180" spans="1:13" s="1" customFormat="1" ht="29.25" customHeight="1">
      <c r="A180" s="57"/>
      <c r="B180" s="57"/>
      <c r="C180" s="1631" t="s">
        <v>200</v>
      </c>
      <c r="D180" s="1632"/>
      <c r="E180" s="1632"/>
      <c r="F180" s="1633"/>
      <c r="G180" s="74">
        <f>SUMIF(F16:F166,"SB(KPP)",G16:G166)</f>
        <v>20</v>
      </c>
      <c r="H180" s="74">
        <f>SUMIF(F16:F166,"SB(KPP)",H16:H166)</f>
        <v>0</v>
      </c>
      <c r="I180" s="74">
        <f>SUMIF(F16:F166,"SB(KPP)",I16:I166)</f>
        <v>0</v>
      </c>
      <c r="J180" s="57"/>
      <c r="K180" s="58"/>
      <c r="L180" s="58"/>
      <c r="M180" s="58"/>
    </row>
    <row r="181" spans="1:13" s="1" customFormat="1" ht="12.75" customHeight="1">
      <c r="A181" s="57"/>
      <c r="B181" s="57"/>
      <c r="C181" s="1384" t="s">
        <v>84</v>
      </c>
      <c r="D181" s="1385"/>
      <c r="E181" s="1385"/>
      <c r="F181" s="1386"/>
      <c r="G181" s="74">
        <f>SUMIF(F16:F166,"SB(L)",G16:G166)</f>
        <v>180.20000000000002</v>
      </c>
      <c r="H181" s="74">
        <f>SUMIF(F16:F166,"SB(L)",H16:H166)</f>
        <v>0</v>
      </c>
      <c r="I181" s="74">
        <f>SUMIF(F16:F166,"SB(L)",I16:I166)</f>
        <v>0</v>
      </c>
      <c r="J181" s="57"/>
      <c r="K181" s="58"/>
      <c r="L181" s="58"/>
      <c r="M181" s="58"/>
    </row>
    <row r="182" spans="1:13" s="1" customFormat="1" ht="12.75" customHeight="1">
      <c r="A182" s="57"/>
      <c r="B182" s="57"/>
      <c r="C182" s="1384" t="s">
        <v>85</v>
      </c>
      <c r="D182" s="1385"/>
      <c r="E182" s="1385"/>
      <c r="F182" s="1386"/>
      <c r="G182" s="74">
        <f>SUMIF(F16:F166,"SB(SPL)",G16:G166)</f>
        <v>172.6</v>
      </c>
      <c r="H182" s="74">
        <f>SUMIF(F16:F166,"SB(SPL)",H16:H166)</f>
        <v>0</v>
      </c>
      <c r="I182" s="74">
        <f>SUMIF(F16:F166,"SB(SPL)",I16:I166)</f>
        <v>0</v>
      </c>
      <c r="J182" s="57"/>
      <c r="K182" s="58"/>
      <c r="L182" s="58"/>
      <c r="M182" s="58"/>
    </row>
    <row r="183" spans="1:13" s="1" customFormat="1" ht="12.75" customHeight="1">
      <c r="A183" s="57"/>
      <c r="B183" s="57"/>
      <c r="C183" s="1384" t="s">
        <v>86</v>
      </c>
      <c r="D183" s="1385"/>
      <c r="E183" s="1385"/>
      <c r="F183" s="1386"/>
      <c r="G183" s="74">
        <f>SUMIF(F16:F166,"SB(VRL)",G16:G166)</f>
        <v>28.3</v>
      </c>
      <c r="H183" s="74">
        <f>SUMIF(F16:F166,"SB(VRL)",H16:H166)</f>
        <v>0</v>
      </c>
      <c r="I183" s="74">
        <f>SUMIF(F16:F166,"SB(VRL)",I16:I166)</f>
        <v>0</v>
      </c>
      <c r="J183" s="57"/>
      <c r="K183" s="58"/>
      <c r="L183" s="58"/>
      <c r="M183" s="58"/>
    </row>
    <row r="184" spans="1:13" s="1" customFormat="1" ht="13.5" customHeight="1">
      <c r="A184" s="57"/>
      <c r="B184" s="57"/>
      <c r="C184" s="1384" t="s">
        <v>92</v>
      </c>
      <c r="D184" s="1385"/>
      <c r="E184" s="1385"/>
      <c r="F184" s="1386"/>
      <c r="G184" s="74">
        <f>SUMIF(F16:F166,"SB(ŽPL)",G16:G166)</f>
        <v>0</v>
      </c>
      <c r="H184" s="74">
        <f>SUMIF(F16:F166,"SB(ŽPL)",H16:H166)</f>
        <v>0</v>
      </c>
      <c r="I184" s="74">
        <f>SUMIF(F16:F166,"SB(ŽPL)",I16:I166)</f>
        <v>0</v>
      </c>
      <c r="J184" s="57"/>
      <c r="K184" s="58"/>
      <c r="L184" s="58"/>
      <c r="M184" s="58"/>
    </row>
    <row r="185" spans="1:13" s="1" customFormat="1" ht="12.75" customHeight="1">
      <c r="A185" s="260"/>
      <c r="B185" s="260"/>
      <c r="C185" s="1387" t="s">
        <v>87</v>
      </c>
      <c r="D185" s="1388"/>
      <c r="E185" s="1388"/>
      <c r="F185" s="1389"/>
      <c r="G185" s="76">
        <f>G187+G186</f>
        <v>165</v>
      </c>
      <c r="H185" s="76">
        <f>H187+H186</f>
        <v>168.4</v>
      </c>
      <c r="I185" s="76">
        <f>I187+I186</f>
        <v>113.8</v>
      </c>
      <c r="J185" s="57"/>
      <c r="K185" s="58"/>
      <c r="L185" s="58"/>
      <c r="M185" s="58"/>
    </row>
    <row r="186" spans="1:13" s="48" customFormat="1">
      <c r="A186" s="417"/>
      <c r="B186" s="365"/>
      <c r="C186" s="1390" t="s">
        <v>141</v>
      </c>
      <c r="D186" s="1629"/>
      <c r="E186" s="1629"/>
      <c r="F186" s="1630"/>
      <c r="G186" s="122">
        <f>SUMIF(F16:F166,"ES",G16:G166)</f>
        <v>165</v>
      </c>
      <c r="H186" s="122">
        <f>SUMIF(F16:F166,"ES",H16:H166)</f>
        <v>168.4</v>
      </c>
      <c r="I186" s="122">
        <f>SUMIF(F16:F166,"ES",I16:I166)</f>
        <v>113.8</v>
      </c>
      <c r="J186" s="260"/>
      <c r="K186" s="57"/>
      <c r="L186" s="57"/>
      <c r="M186" s="57"/>
    </row>
    <row r="187" spans="1:13" s="1" customFormat="1" ht="16.5" customHeight="1">
      <c r="A187" s="260"/>
      <c r="B187" s="260"/>
      <c r="C187" s="1393" t="s">
        <v>88</v>
      </c>
      <c r="D187" s="1394"/>
      <c r="E187" s="1394"/>
      <c r="F187" s="1395"/>
      <c r="G187" s="122">
        <f>SUMIF(F16:F166,"LRVB",G16:G166)</f>
        <v>0</v>
      </c>
      <c r="H187" s="122">
        <f>SUMIF(F16:F166,"LRVB",H16:H166)</f>
        <v>0</v>
      </c>
      <c r="I187" s="122">
        <f>SUMIF(F16:F166,"LRVB",I16:I166)</f>
        <v>0</v>
      </c>
      <c r="J187" s="57"/>
      <c r="K187" s="58"/>
      <c r="L187" s="58"/>
      <c r="M187" s="58"/>
    </row>
    <row r="188" spans="1:13" s="1" customFormat="1" ht="13.5" customHeight="1" thickBot="1">
      <c r="A188" s="260"/>
      <c r="B188" s="260"/>
      <c r="C188" s="1371" t="s">
        <v>89</v>
      </c>
      <c r="D188" s="1372"/>
      <c r="E188" s="1372"/>
      <c r="F188" s="1373"/>
      <c r="G188" s="123">
        <f>G185+G172</f>
        <v>16008.900000000001</v>
      </c>
      <c r="H188" s="123">
        <f>H185+H172</f>
        <v>13754.4</v>
      </c>
      <c r="I188" s="123">
        <f>I185+I172</f>
        <v>14648.6</v>
      </c>
      <c r="J188" s="78"/>
      <c r="K188" s="58"/>
      <c r="L188" s="58"/>
      <c r="M188" s="58"/>
    </row>
    <row r="189" spans="1:13" s="60" customFormat="1" ht="11.25">
      <c r="A189" s="59"/>
      <c r="B189" s="59"/>
      <c r="C189" s="59"/>
      <c r="D189" s="59"/>
      <c r="E189" s="59"/>
      <c r="F189" s="62"/>
      <c r="G189" s="67"/>
      <c r="H189" s="67"/>
      <c r="I189" s="67"/>
      <c r="J189" s="82"/>
      <c r="K189" s="59"/>
      <c r="L189" s="59"/>
      <c r="M189" s="59"/>
    </row>
    <row r="190" spans="1:13" s="60" customFormat="1" ht="12.75">
      <c r="A190" s="59"/>
      <c r="B190" s="59"/>
      <c r="C190" s="59"/>
      <c r="D190" s="57"/>
      <c r="E190" s="61"/>
      <c r="F190" s="62"/>
      <c r="G190" s="82"/>
      <c r="H190" s="82"/>
      <c r="I190" s="82"/>
      <c r="J190" s="82"/>
      <c r="K190" s="62"/>
      <c r="L190" s="62"/>
      <c r="M190" s="62"/>
    </row>
    <row r="191" spans="1:13" s="60" customFormat="1" ht="12.75">
      <c r="A191" s="59"/>
      <c r="B191" s="59"/>
      <c r="C191" s="59"/>
      <c r="D191" s="57"/>
      <c r="E191" s="61"/>
      <c r="F191" s="1626" t="s">
        <v>316</v>
      </c>
      <c r="G191" s="1626"/>
      <c r="H191" s="1626"/>
      <c r="I191" s="1626"/>
      <c r="J191" s="59"/>
      <c r="K191" s="62"/>
      <c r="L191" s="62"/>
      <c r="M191" s="62"/>
    </row>
    <row r="192" spans="1:13">
      <c r="G192" s="80"/>
      <c r="H192" s="80"/>
      <c r="I192" s="80"/>
    </row>
    <row r="193" spans="7:9">
      <c r="G193" s="80"/>
      <c r="H193" s="80"/>
      <c r="I193" s="80"/>
    </row>
    <row r="194" spans="7:9">
      <c r="G194" s="136"/>
      <c r="H194" s="136"/>
      <c r="I194" s="136"/>
    </row>
  </sheetData>
  <mergeCells count="176">
    <mergeCell ref="D8:J8"/>
    <mergeCell ref="D7:J7"/>
    <mergeCell ref="J9:M9"/>
    <mergeCell ref="A10:A12"/>
    <mergeCell ref="B10:B12"/>
    <mergeCell ref="C10:C12"/>
    <mergeCell ref="D10:D12"/>
    <mergeCell ref="B15:M15"/>
    <mergeCell ref="C16:M16"/>
    <mergeCell ref="I10:I12"/>
    <mergeCell ref="J10:M10"/>
    <mergeCell ref="J11:J12"/>
    <mergeCell ref="K11:M11"/>
    <mergeCell ref="A13:M13"/>
    <mergeCell ref="A14:M14"/>
    <mergeCell ref="E10:E12"/>
    <mergeCell ref="F10:F12"/>
    <mergeCell ref="G10:G12"/>
    <mergeCell ref="H10:H12"/>
    <mergeCell ref="L30:L31"/>
    <mergeCell ref="M30:M31"/>
    <mergeCell ref="D37:D38"/>
    <mergeCell ref="A39:A41"/>
    <mergeCell ref="B39:B41"/>
    <mergeCell ref="C39:C41"/>
    <mergeCell ref="D39:D41"/>
    <mergeCell ref="E39:E41"/>
    <mergeCell ref="J28:J29"/>
    <mergeCell ref="D30:D32"/>
    <mergeCell ref="J30:J31"/>
    <mergeCell ref="K30:K31"/>
    <mergeCell ref="D24:D29"/>
    <mergeCell ref="A24:A25"/>
    <mergeCell ref="B24:B25"/>
    <mergeCell ref="C24:C25"/>
    <mergeCell ref="K50:K52"/>
    <mergeCell ref="L50:L52"/>
    <mergeCell ref="M50:M52"/>
    <mergeCell ref="A53:A55"/>
    <mergeCell ref="B53:B55"/>
    <mergeCell ref="C53:C55"/>
    <mergeCell ref="E53:E55"/>
    <mergeCell ref="D42:D43"/>
    <mergeCell ref="D44:D45"/>
    <mergeCell ref="A50:A52"/>
    <mergeCell ref="B50:B52"/>
    <mergeCell ref="C50:C52"/>
    <mergeCell ref="D50:D52"/>
    <mergeCell ref="E50:E52"/>
    <mergeCell ref="D46:D47"/>
    <mergeCell ref="D53:D55"/>
    <mergeCell ref="D64:D66"/>
    <mergeCell ref="J64:J65"/>
    <mergeCell ref="D67:D70"/>
    <mergeCell ref="J56:J57"/>
    <mergeCell ref="L56:L59"/>
    <mergeCell ref="M56:M59"/>
    <mergeCell ref="A60:A61"/>
    <mergeCell ref="B60:B61"/>
    <mergeCell ref="C60:C61"/>
    <mergeCell ref="D60:D61"/>
    <mergeCell ref="E60:E61"/>
    <mergeCell ref="A56:A59"/>
    <mergeCell ref="B56:B59"/>
    <mergeCell ref="C56:C59"/>
    <mergeCell ref="D56:D59"/>
    <mergeCell ref="E56:E59"/>
    <mergeCell ref="D62:D63"/>
    <mergeCell ref="E74:E76"/>
    <mergeCell ref="A77:A78"/>
    <mergeCell ref="B77:B78"/>
    <mergeCell ref="C77:C78"/>
    <mergeCell ref="D77:D78"/>
    <mergeCell ref="E77:E78"/>
    <mergeCell ref="D71:D72"/>
    <mergeCell ref="A74:A76"/>
    <mergeCell ref="B74:B76"/>
    <mergeCell ref="C74:C76"/>
    <mergeCell ref="D74:D76"/>
    <mergeCell ref="D98:D99"/>
    <mergeCell ref="J98:J99"/>
    <mergeCell ref="D100:D102"/>
    <mergeCell ref="J100:J101"/>
    <mergeCell ref="J103:J104"/>
    <mergeCell ref="D90:D91"/>
    <mergeCell ref="D92:D93"/>
    <mergeCell ref="D95:D96"/>
    <mergeCell ref="D84:D85"/>
    <mergeCell ref="J84:J85"/>
    <mergeCell ref="D86:D87"/>
    <mergeCell ref="J86:J87"/>
    <mergeCell ref="D88:D89"/>
    <mergeCell ref="A111:A113"/>
    <mergeCell ref="B111:B113"/>
    <mergeCell ref="C111:C113"/>
    <mergeCell ref="D111:D113"/>
    <mergeCell ref="E111:E113"/>
    <mergeCell ref="N103:N104"/>
    <mergeCell ref="N105:N106"/>
    <mergeCell ref="D106:D107"/>
    <mergeCell ref="D108:D109"/>
    <mergeCell ref="A137:A145"/>
    <mergeCell ref="B137:B145"/>
    <mergeCell ref="C137:C145"/>
    <mergeCell ref="D137:D139"/>
    <mergeCell ref="H142:H143"/>
    <mergeCell ref="J114:J115"/>
    <mergeCell ref="C117:F117"/>
    <mergeCell ref="C118:M118"/>
    <mergeCell ref="D119:D120"/>
    <mergeCell ref="E119:E124"/>
    <mergeCell ref="A114:A116"/>
    <mergeCell ref="B114:B116"/>
    <mergeCell ref="C114:C116"/>
    <mergeCell ref="D114:D115"/>
    <mergeCell ref="I142:I143"/>
    <mergeCell ref="C146:F146"/>
    <mergeCell ref="N137:N139"/>
    <mergeCell ref="D140:D141"/>
    <mergeCell ref="D142:D143"/>
    <mergeCell ref="E142:E143"/>
    <mergeCell ref="F142:F143"/>
    <mergeCell ref="G142:G143"/>
    <mergeCell ref="J127:J128"/>
    <mergeCell ref="D129:D130"/>
    <mergeCell ref="C132:F132"/>
    <mergeCell ref="C133:M133"/>
    <mergeCell ref="D134:D136"/>
    <mergeCell ref="D158:D159"/>
    <mergeCell ref="J158:J159"/>
    <mergeCell ref="A161:A163"/>
    <mergeCell ref="B161:B163"/>
    <mergeCell ref="C161:C163"/>
    <mergeCell ref="D161:D163"/>
    <mergeCell ref="E161:E163"/>
    <mergeCell ref="C147:M147"/>
    <mergeCell ref="D151:D152"/>
    <mergeCell ref="J151:J152"/>
    <mergeCell ref="D153:D154"/>
    <mergeCell ref="D155:D157"/>
    <mergeCell ref="C169:F169"/>
    <mergeCell ref="C171:F171"/>
    <mergeCell ref="C172:F172"/>
    <mergeCell ref="C173:F173"/>
    <mergeCell ref="C174:F174"/>
    <mergeCell ref="J162:J163"/>
    <mergeCell ref="C164:F164"/>
    <mergeCell ref="J164:M164"/>
    <mergeCell ref="B165:F165"/>
    <mergeCell ref="J165:M165"/>
    <mergeCell ref="B166:F166"/>
    <mergeCell ref="J166:M166"/>
    <mergeCell ref="F191:I191"/>
    <mergeCell ref="D79:D82"/>
    <mergeCell ref="D148:D149"/>
    <mergeCell ref="C187:F187"/>
    <mergeCell ref="C188:F188"/>
    <mergeCell ref="J1:M1"/>
    <mergeCell ref="D6:J6"/>
    <mergeCell ref="J2:M2"/>
    <mergeCell ref="D17:D18"/>
    <mergeCell ref="J46:J47"/>
    <mergeCell ref="J50:J51"/>
    <mergeCell ref="C181:F181"/>
    <mergeCell ref="C182:F182"/>
    <mergeCell ref="C183:F183"/>
    <mergeCell ref="C184:F184"/>
    <mergeCell ref="C185:F185"/>
    <mergeCell ref="C186:F186"/>
    <mergeCell ref="C175:F175"/>
    <mergeCell ref="C176:F176"/>
    <mergeCell ref="C177:F177"/>
    <mergeCell ref="C178:F178"/>
    <mergeCell ref="C179:F179"/>
    <mergeCell ref="C180:F180"/>
    <mergeCell ref="A167:H167"/>
  </mergeCells>
  <printOptions horizontalCentered="1"/>
  <pageMargins left="0.78740157480314965" right="0.39370078740157483" top="0.39370078740157483" bottom="0.39370078740157483" header="0" footer="0"/>
  <pageSetup paperSize="9" scale="68" orientation="portrait" r:id="rId1"/>
  <rowBreaks count="2" manualBreakCount="2">
    <brk id="59" max="12" man="1"/>
    <brk id="105"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19"/>
  <sheetViews>
    <sheetView zoomScaleNormal="100" zoomScaleSheetLayoutView="100" workbookViewId="0">
      <selection activeCell="X7" sqref="X7"/>
    </sheetView>
  </sheetViews>
  <sheetFormatPr defaultColWidth="9.140625" defaultRowHeight="15"/>
  <cols>
    <col min="1" max="1" width="3" style="79" customWidth="1"/>
    <col min="2" max="2" width="2.7109375" style="79" customWidth="1"/>
    <col min="3" max="3" width="3" style="79" customWidth="1"/>
    <col min="4" max="4" width="2.7109375" style="79" customWidth="1"/>
    <col min="5" max="5" width="33.7109375" style="79" customWidth="1"/>
    <col min="6" max="6" width="4.42578125" style="79" customWidth="1"/>
    <col min="7" max="7" width="11" style="79" customWidth="1"/>
    <col min="8" max="8" width="9.140625" style="79"/>
    <col min="9" max="9" width="8.7109375" style="79" customWidth="1"/>
    <col min="10" max="12" width="8.5703125" style="79" customWidth="1"/>
    <col min="13" max="13" width="36.5703125" style="79" customWidth="1"/>
    <col min="14" max="16" width="4.5703125" style="79" customWidth="1"/>
    <col min="17" max="17" width="5.140625" style="79" customWidth="1"/>
    <col min="18" max="18" width="6.85546875" style="79" customWidth="1"/>
    <col min="19" max="19" width="8" style="79" customWidth="1"/>
    <col min="20" max="16384" width="9.140625" style="79"/>
  </cols>
  <sheetData>
    <row r="1" spans="1:17" ht="14.25" customHeight="1">
      <c r="M1" s="1713" t="s">
        <v>112</v>
      </c>
      <c r="N1" s="1714"/>
      <c r="O1" s="1714"/>
      <c r="P1" s="1714"/>
      <c r="Q1" s="1714"/>
    </row>
    <row r="2" spans="1:17" s="1" customFormat="1" ht="15" customHeight="1">
      <c r="A2" s="822"/>
      <c r="B2" s="822"/>
      <c r="C2" s="822"/>
      <c r="D2" s="822"/>
      <c r="E2" s="1593" t="s">
        <v>231</v>
      </c>
      <c r="F2" s="1593"/>
      <c r="G2" s="1593"/>
      <c r="H2" s="1593"/>
      <c r="I2" s="1593"/>
      <c r="J2" s="1593"/>
      <c r="K2" s="1593"/>
      <c r="L2" s="1593"/>
      <c r="M2" s="1593"/>
      <c r="N2" s="822"/>
      <c r="O2" s="822"/>
      <c r="P2" s="822"/>
      <c r="Q2" s="822"/>
    </row>
    <row r="3" spans="1:17" s="1" customFormat="1">
      <c r="A3" s="822"/>
      <c r="B3" s="822"/>
      <c r="C3" s="822"/>
      <c r="D3" s="822"/>
      <c r="E3" s="1594" t="s">
        <v>107</v>
      </c>
      <c r="F3" s="1595"/>
      <c r="G3" s="1595"/>
      <c r="H3" s="1595"/>
      <c r="I3" s="1595"/>
      <c r="J3" s="1595"/>
      <c r="K3" s="1595"/>
      <c r="L3" s="1595"/>
      <c r="M3" s="1595"/>
      <c r="N3" s="822"/>
      <c r="O3" s="822"/>
      <c r="P3" s="822"/>
      <c r="Q3" s="822"/>
    </row>
    <row r="4" spans="1:17" s="1" customFormat="1" ht="15" customHeight="1">
      <c r="A4" s="1369" t="s">
        <v>105</v>
      </c>
      <c r="B4" s="1369"/>
      <c r="C4" s="1369"/>
      <c r="D4" s="1369"/>
      <c r="E4" s="1369"/>
      <c r="F4" s="1369"/>
      <c r="G4" s="1369"/>
      <c r="H4" s="1369"/>
      <c r="I4" s="1369"/>
      <c r="J4" s="1369"/>
      <c r="K4" s="1369"/>
      <c r="L4" s="1369"/>
      <c r="M4" s="1369"/>
      <c r="N4" s="1369"/>
      <c r="O4" s="1369"/>
      <c r="P4" s="1369"/>
      <c r="Q4" s="1369"/>
    </row>
    <row r="5" spans="1:17" s="1" customFormat="1" ht="13.5" thickBot="1">
      <c r="F5" s="2"/>
      <c r="M5" s="1596" t="s">
        <v>106</v>
      </c>
      <c r="N5" s="1596"/>
      <c r="O5" s="1596"/>
      <c r="P5" s="1596"/>
      <c r="Q5" s="1596"/>
    </row>
    <row r="6" spans="1:17" s="48" customFormat="1" ht="36.75" customHeight="1">
      <c r="A6" s="1608" t="s">
        <v>0</v>
      </c>
      <c r="B6" s="1611" t="s">
        <v>1</v>
      </c>
      <c r="C6" s="1611" t="s">
        <v>2</v>
      </c>
      <c r="D6" s="1611" t="s">
        <v>3</v>
      </c>
      <c r="E6" s="1614" t="s">
        <v>4</v>
      </c>
      <c r="F6" s="1617" t="s">
        <v>5</v>
      </c>
      <c r="G6" s="1715" t="s">
        <v>7</v>
      </c>
      <c r="H6" s="1623" t="s">
        <v>8</v>
      </c>
      <c r="I6" s="1693" t="s">
        <v>272</v>
      </c>
      <c r="J6" s="1693" t="s">
        <v>229</v>
      </c>
      <c r="K6" s="1693" t="s">
        <v>161</v>
      </c>
      <c r="L6" s="1693" t="s">
        <v>230</v>
      </c>
      <c r="M6" s="1364" t="s">
        <v>9</v>
      </c>
      <c r="N6" s="1365"/>
      <c r="O6" s="1365"/>
      <c r="P6" s="1365"/>
      <c r="Q6" s="1366"/>
    </row>
    <row r="7" spans="1:17" s="48" customFormat="1" ht="18.75" customHeight="1">
      <c r="A7" s="1609"/>
      <c r="B7" s="1612"/>
      <c r="C7" s="1612"/>
      <c r="D7" s="1612"/>
      <c r="E7" s="1615"/>
      <c r="F7" s="1618"/>
      <c r="G7" s="1716"/>
      <c r="H7" s="1624"/>
      <c r="I7" s="1694"/>
      <c r="J7" s="1694"/>
      <c r="K7" s="1694"/>
      <c r="L7" s="1694"/>
      <c r="M7" s="1591" t="s">
        <v>4</v>
      </c>
      <c r="N7" s="1367"/>
      <c r="O7" s="1367"/>
      <c r="P7" s="1367"/>
      <c r="Q7" s="1368"/>
    </row>
    <row r="8" spans="1:17" s="48" customFormat="1" ht="69.75" customHeight="1" thickBot="1">
      <c r="A8" s="1610"/>
      <c r="B8" s="1613"/>
      <c r="C8" s="1613"/>
      <c r="D8" s="1613"/>
      <c r="E8" s="1616"/>
      <c r="F8" s="1619"/>
      <c r="G8" s="1717"/>
      <c r="H8" s="1625"/>
      <c r="I8" s="1695"/>
      <c r="J8" s="1695"/>
      <c r="K8" s="1695"/>
      <c r="L8" s="1695"/>
      <c r="M8" s="1592"/>
      <c r="N8" s="143" t="s">
        <v>111</v>
      </c>
      <c r="O8" s="143" t="s">
        <v>128</v>
      </c>
      <c r="P8" s="143" t="s">
        <v>162</v>
      </c>
      <c r="Q8" s="144" t="s">
        <v>228</v>
      </c>
    </row>
    <row r="9" spans="1:17" s="1" customFormat="1" ht="15.75" customHeight="1">
      <c r="A9" s="1597"/>
      <c r="B9" s="1598"/>
      <c r="C9" s="1598"/>
      <c r="D9" s="1598"/>
      <c r="E9" s="1598"/>
      <c r="F9" s="1598"/>
      <c r="G9" s="1598"/>
      <c r="H9" s="1598"/>
      <c r="I9" s="1598"/>
      <c r="J9" s="1598"/>
      <c r="K9" s="1598"/>
      <c r="L9" s="1598"/>
      <c r="M9" s="1598"/>
      <c r="N9" s="1598"/>
      <c r="O9" s="1598"/>
      <c r="P9" s="1598"/>
      <c r="Q9" s="1599"/>
    </row>
    <row r="10" spans="1:17" s="1" customFormat="1" ht="14.25" customHeight="1">
      <c r="A10" s="1600" t="s">
        <v>12</v>
      </c>
      <c r="B10" s="1601"/>
      <c r="C10" s="1601"/>
      <c r="D10" s="1601"/>
      <c r="E10" s="1601"/>
      <c r="F10" s="1601"/>
      <c r="G10" s="1601"/>
      <c r="H10" s="1601"/>
      <c r="I10" s="1601"/>
      <c r="J10" s="1601"/>
      <c r="K10" s="1601"/>
      <c r="L10" s="1601"/>
      <c r="M10" s="1601"/>
      <c r="N10" s="1601"/>
      <c r="O10" s="1601"/>
      <c r="P10" s="1601"/>
      <c r="Q10" s="1602"/>
    </row>
    <row r="11" spans="1:17" s="1" customFormat="1" ht="14.25" customHeight="1">
      <c r="A11" s="5" t="s">
        <v>13</v>
      </c>
      <c r="B11" s="1603" t="s">
        <v>14</v>
      </c>
      <c r="C11" s="1603"/>
      <c r="D11" s="1603"/>
      <c r="E11" s="1603"/>
      <c r="F11" s="1603"/>
      <c r="G11" s="1603"/>
      <c r="H11" s="1603"/>
      <c r="I11" s="1603"/>
      <c r="J11" s="1603"/>
      <c r="K11" s="1603"/>
      <c r="L11" s="1603"/>
      <c r="M11" s="1603"/>
      <c r="N11" s="1603"/>
      <c r="O11" s="1603"/>
      <c r="P11" s="1603"/>
      <c r="Q11" s="1604"/>
    </row>
    <row r="12" spans="1:17" s="1" customFormat="1" ht="15.75" customHeight="1">
      <c r="A12" s="6" t="s">
        <v>13</v>
      </c>
      <c r="B12" s="7" t="s">
        <v>13</v>
      </c>
      <c r="C12" s="1605" t="s">
        <v>15</v>
      </c>
      <c r="D12" s="1606"/>
      <c r="E12" s="1606"/>
      <c r="F12" s="1606"/>
      <c r="G12" s="1606"/>
      <c r="H12" s="1606"/>
      <c r="I12" s="1606"/>
      <c r="J12" s="1606"/>
      <c r="K12" s="1606"/>
      <c r="L12" s="1606"/>
      <c r="M12" s="1606"/>
      <c r="N12" s="1606"/>
      <c r="O12" s="1606"/>
      <c r="P12" s="1606"/>
      <c r="Q12" s="1607"/>
    </row>
    <row r="13" spans="1:17" s="4" customFormat="1" ht="25.5" customHeight="1">
      <c r="A13" s="8" t="s">
        <v>13</v>
      </c>
      <c r="B13" s="9" t="s">
        <v>13</v>
      </c>
      <c r="C13" s="320" t="s">
        <v>13</v>
      </c>
      <c r="D13" s="827"/>
      <c r="E13" s="865" t="s">
        <v>16</v>
      </c>
      <c r="F13" s="10"/>
      <c r="G13" s="682"/>
      <c r="H13" s="101"/>
      <c r="I13" s="683"/>
      <c r="J13" s="683"/>
      <c r="K13" s="683"/>
      <c r="L13" s="683"/>
      <c r="M13" s="403"/>
      <c r="N13" s="684"/>
      <c r="O13" s="684"/>
      <c r="P13" s="537"/>
      <c r="Q13" s="208"/>
    </row>
    <row r="14" spans="1:17" s="4" customFormat="1" ht="27" customHeight="1">
      <c r="A14" s="11"/>
      <c r="B14" s="12"/>
      <c r="C14" s="321"/>
      <c r="D14" s="883" t="s">
        <v>13</v>
      </c>
      <c r="E14" s="1513" t="s">
        <v>17</v>
      </c>
      <c r="F14" s="1719"/>
      <c r="G14" s="1721" t="s">
        <v>289</v>
      </c>
      <c r="H14" s="25" t="s">
        <v>19</v>
      </c>
      <c r="I14" s="98">
        <f>7528.8-8.4+17.6-59.8+12.7</f>
        <v>7490.9000000000005</v>
      </c>
      <c r="J14" s="1049">
        <v>7959.2</v>
      </c>
      <c r="K14" s="1049">
        <v>7987.5</v>
      </c>
      <c r="L14" s="1049">
        <v>7987.5</v>
      </c>
      <c r="M14" s="842" t="s">
        <v>109</v>
      </c>
      <c r="N14" s="158">
        <v>438.5</v>
      </c>
      <c r="O14" s="158">
        <v>432.5</v>
      </c>
      <c r="P14" s="158">
        <v>432.5</v>
      </c>
      <c r="Q14" s="1195">
        <v>432.5</v>
      </c>
    </row>
    <row r="15" spans="1:17" s="4" customFormat="1" ht="23.25" customHeight="1">
      <c r="A15" s="11"/>
      <c r="B15" s="12"/>
      <c r="C15" s="321"/>
      <c r="D15" s="855"/>
      <c r="E15" s="1557"/>
      <c r="F15" s="1720"/>
      <c r="G15" s="1722"/>
      <c r="H15" s="488" t="s">
        <v>19</v>
      </c>
      <c r="I15" s="237">
        <v>121.1</v>
      </c>
      <c r="J15" s="237">
        <v>121.2</v>
      </c>
      <c r="K15" s="237"/>
      <c r="L15" s="237"/>
      <c r="M15" s="526" t="s">
        <v>184</v>
      </c>
      <c r="N15" s="489">
        <v>254</v>
      </c>
      <c r="O15" s="489" t="s">
        <v>185</v>
      </c>
      <c r="P15" s="489"/>
      <c r="Q15" s="490"/>
    </row>
    <row r="16" spans="1:17" s="4" customFormat="1" ht="15.6" customHeight="1">
      <c r="A16" s="13"/>
      <c r="B16" s="14"/>
      <c r="C16" s="322"/>
      <c r="D16" s="855"/>
      <c r="E16" s="1566"/>
      <c r="F16" s="1720"/>
      <c r="G16" s="1722"/>
      <c r="H16" s="19" t="s">
        <v>40</v>
      </c>
      <c r="I16" s="99">
        <v>10</v>
      </c>
      <c r="J16" s="99">
        <v>10</v>
      </c>
      <c r="K16" s="99"/>
      <c r="L16" s="99"/>
      <c r="M16" s="843"/>
      <c r="N16" s="169"/>
      <c r="O16" s="159"/>
      <c r="P16" s="159"/>
      <c r="Q16" s="209"/>
    </row>
    <row r="17" spans="1:19" s="4" customFormat="1" ht="15.6" customHeight="1">
      <c r="A17" s="13"/>
      <c r="B17" s="15"/>
      <c r="C17" s="323"/>
      <c r="D17" s="855"/>
      <c r="E17" s="866"/>
      <c r="F17" s="886"/>
      <c r="G17" s="1722"/>
      <c r="H17" s="19" t="s">
        <v>41</v>
      </c>
      <c r="I17" s="99">
        <v>10.199999999999999</v>
      </c>
      <c r="J17" s="99">
        <v>28.3</v>
      </c>
      <c r="K17" s="99"/>
      <c r="L17" s="99"/>
      <c r="M17" s="638"/>
      <c r="N17" s="169"/>
      <c r="O17" s="159"/>
      <c r="P17" s="159"/>
      <c r="Q17" s="209"/>
    </row>
    <row r="18" spans="1:19" s="4" customFormat="1" ht="15.6" customHeight="1">
      <c r="A18" s="13"/>
      <c r="B18" s="15"/>
      <c r="C18" s="323"/>
      <c r="D18" s="855"/>
      <c r="E18" s="866"/>
      <c r="F18" s="886"/>
      <c r="G18" s="1722"/>
      <c r="H18" s="19" t="s">
        <v>41</v>
      </c>
      <c r="I18" s="99">
        <v>12.1</v>
      </c>
      <c r="J18" s="99"/>
      <c r="K18" s="99"/>
      <c r="L18" s="99"/>
      <c r="M18" s="638"/>
      <c r="N18" s="169"/>
      <c r="O18" s="159"/>
      <c r="P18" s="159"/>
      <c r="Q18" s="209"/>
    </row>
    <row r="19" spans="1:19" s="4" customFormat="1" ht="15.6" customHeight="1">
      <c r="A19" s="13"/>
      <c r="B19" s="15"/>
      <c r="C19" s="323"/>
      <c r="D19" s="855"/>
      <c r="E19" s="846"/>
      <c r="F19" s="886"/>
      <c r="G19" s="1723"/>
      <c r="H19" s="16" t="s">
        <v>20</v>
      </c>
      <c r="I19" s="102">
        <f>471.8+41+28.1-0.8+32.2+10.2</f>
        <v>582.50000000000011</v>
      </c>
      <c r="J19" s="102">
        <v>575.70000000000005</v>
      </c>
      <c r="K19" s="102">
        <v>575.70000000000005</v>
      </c>
      <c r="L19" s="102">
        <v>575.70000000000005</v>
      </c>
      <c r="M19" s="527"/>
      <c r="N19" s="170"/>
      <c r="O19" s="160"/>
      <c r="P19" s="160"/>
      <c r="Q19" s="210"/>
    </row>
    <row r="20" spans="1:19" s="1" customFormat="1" ht="12.75">
      <c r="A20" s="1481"/>
      <c r="B20" s="1565"/>
      <c r="C20" s="1724"/>
      <c r="D20" s="883" t="s">
        <v>21</v>
      </c>
      <c r="E20" s="1513" t="s">
        <v>195</v>
      </c>
      <c r="F20" s="352"/>
      <c r="G20" s="871" t="s">
        <v>22</v>
      </c>
      <c r="H20" s="17" t="s">
        <v>19</v>
      </c>
      <c r="I20" s="98">
        <f>754.1+8.4-59.4</f>
        <v>703.1</v>
      </c>
      <c r="J20" s="98">
        <f>831.8-52.8</f>
        <v>779</v>
      </c>
      <c r="K20" s="98">
        <v>734.7</v>
      </c>
      <c r="L20" s="98">
        <v>734.7</v>
      </c>
      <c r="M20" s="420"/>
      <c r="N20" s="176"/>
      <c r="O20" s="164"/>
      <c r="P20" s="164"/>
      <c r="Q20" s="192"/>
    </row>
    <row r="21" spans="1:19" s="1" customFormat="1" ht="15.6" customHeight="1">
      <c r="A21" s="1481"/>
      <c r="B21" s="1565"/>
      <c r="C21" s="1724"/>
      <c r="D21" s="855"/>
      <c r="E21" s="1528"/>
      <c r="F21" s="379"/>
      <c r="G21" s="872"/>
      <c r="H21" s="19" t="s">
        <v>23</v>
      </c>
      <c r="I21" s="99">
        <v>3.3</v>
      </c>
      <c r="J21" s="99">
        <v>28.3</v>
      </c>
      <c r="K21" s="99">
        <v>3.3</v>
      </c>
      <c r="L21" s="99">
        <v>3.3</v>
      </c>
      <c r="M21" s="638"/>
      <c r="N21" s="398"/>
      <c r="O21" s="848"/>
      <c r="P21" s="877"/>
      <c r="Q21" s="851"/>
      <c r="S21" s="241"/>
    </row>
    <row r="22" spans="1:19" s="1" customFormat="1" ht="15.6" customHeight="1">
      <c r="A22" s="1481"/>
      <c r="B22" s="1565"/>
      <c r="C22" s="1724"/>
      <c r="D22" s="855"/>
      <c r="E22" s="1528"/>
      <c r="F22" s="379"/>
      <c r="G22" s="872"/>
      <c r="H22" s="19" t="s">
        <v>110</v>
      </c>
      <c r="I22" s="99">
        <v>44.3</v>
      </c>
      <c r="J22" s="259"/>
      <c r="K22" s="259"/>
      <c r="L22" s="259"/>
      <c r="M22" s="638"/>
      <c r="N22" s="398"/>
      <c r="O22" s="848"/>
      <c r="P22" s="877"/>
      <c r="Q22" s="851"/>
    </row>
    <row r="23" spans="1:19" s="1" customFormat="1" ht="27.75" customHeight="1">
      <c r="A23" s="1481"/>
      <c r="B23" s="1565"/>
      <c r="C23" s="1724"/>
      <c r="D23" s="855"/>
      <c r="E23" s="1528"/>
      <c r="F23" s="379"/>
      <c r="G23" s="872"/>
      <c r="H23" s="488" t="s">
        <v>19</v>
      </c>
      <c r="I23" s="1051"/>
      <c r="J23" s="237">
        <v>52.8</v>
      </c>
      <c r="K23" s="1051"/>
      <c r="L23" s="1051"/>
      <c r="M23" s="1213" t="s">
        <v>296</v>
      </c>
      <c r="N23" s="175"/>
      <c r="O23" s="284">
        <v>5</v>
      </c>
      <c r="P23" s="794"/>
      <c r="Q23" s="276"/>
    </row>
    <row r="24" spans="1:19" s="1" customFormat="1" ht="27.75" customHeight="1">
      <c r="A24" s="1481"/>
      <c r="B24" s="1565"/>
      <c r="C24" s="1724"/>
      <c r="D24" s="827"/>
      <c r="E24" s="1528"/>
      <c r="F24" s="379"/>
      <c r="G24" s="872"/>
      <c r="H24" s="16"/>
      <c r="I24" s="259"/>
      <c r="J24" s="259"/>
      <c r="K24" s="259"/>
      <c r="L24" s="259"/>
      <c r="M24" s="267" t="s">
        <v>240</v>
      </c>
      <c r="N24" s="172">
        <v>4</v>
      </c>
      <c r="O24" s="282">
        <v>4</v>
      </c>
      <c r="P24" s="161">
        <v>4</v>
      </c>
      <c r="Q24" s="281">
        <v>4</v>
      </c>
    </row>
    <row r="25" spans="1:19" s="1" customFormat="1" ht="18" customHeight="1">
      <c r="A25" s="1481"/>
      <c r="B25" s="1565"/>
      <c r="C25" s="1724"/>
      <c r="D25" s="827"/>
      <c r="E25" s="846"/>
      <c r="F25" s="379"/>
      <c r="G25" s="872"/>
      <c r="H25" s="19"/>
      <c r="I25" s="259"/>
      <c r="J25" s="99"/>
      <c r="K25" s="99"/>
      <c r="L25" s="99"/>
      <c r="M25" s="1039" t="s">
        <v>98</v>
      </c>
      <c r="N25" s="175">
        <v>21</v>
      </c>
      <c r="O25" s="284">
        <v>21</v>
      </c>
      <c r="P25" s="794">
        <v>21</v>
      </c>
      <c r="Q25" s="276">
        <v>21</v>
      </c>
      <c r="R25" s="1050"/>
    </row>
    <row r="26" spans="1:19" s="1" customFormat="1" ht="17.25" customHeight="1">
      <c r="A26" s="1040"/>
      <c r="B26" s="1041"/>
      <c r="C26" s="1047"/>
      <c r="D26" s="1042"/>
      <c r="E26" s="1043"/>
      <c r="F26" s="354"/>
      <c r="G26" s="1046"/>
      <c r="H26" s="19"/>
      <c r="I26" s="99"/>
      <c r="J26" s="99"/>
      <c r="K26" s="99"/>
      <c r="L26" s="99"/>
      <c r="M26" s="1048" t="s">
        <v>224</v>
      </c>
      <c r="N26" s="172">
        <v>122</v>
      </c>
      <c r="O26" s="282">
        <v>45</v>
      </c>
      <c r="P26" s="161">
        <v>50</v>
      </c>
      <c r="Q26" s="281">
        <v>50</v>
      </c>
    </row>
    <row r="27" spans="1:19" s="1" customFormat="1" ht="27.75" customHeight="1">
      <c r="A27" s="1040"/>
      <c r="B27" s="1041"/>
      <c r="C27" s="1047"/>
      <c r="D27" s="1044"/>
      <c r="E27" s="1043"/>
      <c r="F27" s="354"/>
      <c r="G27" s="1046"/>
      <c r="H27" s="19"/>
      <c r="I27" s="99"/>
      <c r="J27" s="99"/>
      <c r="K27" s="99"/>
      <c r="L27" s="99"/>
      <c r="M27" s="1077" t="s">
        <v>165</v>
      </c>
      <c r="N27" s="542" t="s">
        <v>163</v>
      </c>
      <c r="O27" s="543" t="s">
        <v>260</v>
      </c>
      <c r="P27" s="1054" t="s">
        <v>260</v>
      </c>
      <c r="Q27" s="544" t="s">
        <v>260</v>
      </c>
    </row>
    <row r="28" spans="1:19" s="1" customFormat="1" ht="16.5" customHeight="1">
      <c r="A28" s="1040"/>
      <c r="B28" s="1041"/>
      <c r="C28" s="1047"/>
      <c r="D28" s="1045"/>
      <c r="E28" s="1043"/>
      <c r="F28" s="354"/>
      <c r="G28" s="1046"/>
      <c r="H28" s="488" t="s">
        <v>19</v>
      </c>
      <c r="I28" s="1051"/>
      <c r="J28" s="237">
        <v>6</v>
      </c>
      <c r="K28" s="237"/>
      <c r="L28" s="237"/>
      <c r="M28" s="1048" t="s">
        <v>262</v>
      </c>
      <c r="N28" s="172"/>
      <c r="O28" s="282">
        <v>1</v>
      </c>
      <c r="P28" s="172"/>
      <c r="Q28" s="281"/>
      <c r="R28" s="1050"/>
    </row>
    <row r="29" spans="1:19" s="1" customFormat="1" ht="16.5" customHeight="1">
      <c r="A29" s="1040"/>
      <c r="B29" s="1041"/>
      <c r="C29" s="1047"/>
      <c r="D29" s="1045"/>
      <c r="E29" s="1043"/>
      <c r="F29" s="354"/>
      <c r="G29" s="1055"/>
      <c r="H29" s="488" t="s">
        <v>19</v>
      </c>
      <c r="I29" s="1051"/>
      <c r="J29" s="237">
        <v>38</v>
      </c>
      <c r="K29" s="237"/>
      <c r="L29" s="237"/>
      <c r="M29" s="464" t="s">
        <v>261</v>
      </c>
      <c r="N29" s="175"/>
      <c r="O29" s="284">
        <v>1</v>
      </c>
      <c r="P29" s="175"/>
      <c r="Q29" s="281"/>
      <c r="R29" s="1050"/>
    </row>
    <row r="30" spans="1:19" s="1" customFormat="1" ht="16.5" customHeight="1">
      <c r="A30" s="1040"/>
      <c r="B30" s="1041"/>
      <c r="C30" s="1047"/>
      <c r="D30" s="1045"/>
      <c r="E30" s="1043"/>
      <c r="F30" s="354"/>
      <c r="G30" s="1055"/>
      <c r="H30" s="488" t="s">
        <v>19</v>
      </c>
      <c r="I30" s="1051"/>
      <c r="J30" s="237">
        <v>16</v>
      </c>
      <c r="K30" s="237"/>
      <c r="L30" s="237"/>
      <c r="M30" s="464" t="s">
        <v>264</v>
      </c>
      <c r="N30" s="175"/>
      <c r="O30" s="284">
        <v>1</v>
      </c>
      <c r="P30" s="175"/>
      <c r="Q30" s="281"/>
      <c r="R30" s="1050"/>
    </row>
    <row r="31" spans="1:19" s="1" customFormat="1" ht="26.25" customHeight="1">
      <c r="A31" s="1040"/>
      <c r="B31" s="1041"/>
      <c r="C31" s="1047"/>
      <c r="D31" s="1045"/>
      <c r="E31" s="1043"/>
      <c r="F31" s="354"/>
      <c r="G31" s="1055"/>
      <c r="H31" s="488" t="s">
        <v>19</v>
      </c>
      <c r="I31" s="1051"/>
      <c r="J31" s="237"/>
      <c r="K31" s="237">
        <v>6</v>
      </c>
      <c r="L31" s="237"/>
      <c r="M31" s="464" t="s">
        <v>265</v>
      </c>
      <c r="N31" s="175"/>
      <c r="O31" s="284"/>
      <c r="P31" s="175">
        <v>100</v>
      </c>
      <c r="Q31" s="281"/>
      <c r="R31" s="1050"/>
    </row>
    <row r="32" spans="1:19" s="1" customFormat="1" ht="26.25" customHeight="1">
      <c r="A32" s="1040"/>
      <c r="B32" s="1041"/>
      <c r="C32" s="1047"/>
      <c r="D32" s="1045"/>
      <c r="E32" s="1043"/>
      <c r="F32" s="354"/>
      <c r="G32" s="1055"/>
      <c r="H32" s="488" t="s">
        <v>19</v>
      </c>
      <c r="I32" s="1051"/>
      <c r="J32" s="237">
        <v>15.6</v>
      </c>
      <c r="K32" s="237"/>
      <c r="L32" s="237"/>
      <c r="M32" s="464" t="s">
        <v>266</v>
      </c>
      <c r="N32" s="175"/>
      <c r="O32" s="284">
        <v>1</v>
      </c>
      <c r="P32" s="175"/>
      <c r="Q32" s="281"/>
      <c r="R32" s="1050"/>
    </row>
    <row r="33" spans="1:18" s="1" customFormat="1" ht="27" customHeight="1">
      <c r="A33" s="1113"/>
      <c r="B33" s="1114"/>
      <c r="C33" s="1117"/>
      <c r="D33" s="1116"/>
      <c r="E33" s="1115"/>
      <c r="F33" s="354"/>
      <c r="G33" s="1055"/>
      <c r="H33" s="488" t="s">
        <v>19</v>
      </c>
      <c r="I33" s="1051"/>
      <c r="J33" s="237"/>
      <c r="K33" s="237">
        <v>9</v>
      </c>
      <c r="L33" s="237"/>
      <c r="M33" s="464" t="s">
        <v>263</v>
      </c>
      <c r="N33" s="175"/>
      <c r="O33" s="284"/>
      <c r="P33" s="175">
        <v>100</v>
      </c>
      <c r="Q33" s="281"/>
      <c r="R33" s="1059"/>
    </row>
    <row r="34" spans="1:18" s="1" customFormat="1" ht="18.75" customHeight="1">
      <c r="A34" s="1040"/>
      <c r="B34" s="1041"/>
      <c r="C34" s="1047"/>
      <c r="D34" s="1045"/>
      <c r="E34" s="1043"/>
      <c r="F34" s="354"/>
      <c r="G34" s="1046"/>
      <c r="H34" s="1052" t="s">
        <v>110</v>
      </c>
      <c r="I34" s="996"/>
      <c r="J34" s="996"/>
      <c r="K34" s="996"/>
      <c r="L34" s="996"/>
      <c r="M34" s="1688" t="s">
        <v>194</v>
      </c>
      <c r="N34" s="969">
        <v>4</v>
      </c>
      <c r="O34" s="1053"/>
      <c r="P34" s="353">
        <v>4</v>
      </c>
      <c r="Q34" s="211">
        <v>12</v>
      </c>
    </row>
    <row r="35" spans="1:18" s="1" customFormat="1" ht="21.75" customHeight="1">
      <c r="A35" s="924"/>
      <c r="B35" s="925"/>
      <c r="C35" s="935"/>
      <c r="D35" s="926"/>
      <c r="E35" s="927"/>
      <c r="F35" s="354"/>
      <c r="G35" s="936"/>
      <c r="H35" s="46" t="s">
        <v>19</v>
      </c>
      <c r="I35" s="99">
        <f>19+5.5</f>
        <v>24.5</v>
      </c>
      <c r="J35" s="99"/>
      <c r="K35" s="99">
        <v>24</v>
      </c>
      <c r="L35" s="99">
        <v>58</v>
      </c>
      <c r="M35" s="1689"/>
      <c r="N35" s="172"/>
      <c r="O35" s="282"/>
      <c r="P35" s="161"/>
      <c r="Q35" s="281"/>
      <c r="R35" s="241"/>
    </row>
    <row r="36" spans="1:18" s="1" customFormat="1" ht="26.25" customHeight="1">
      <c r="A36" s="23"/>
      <c r="B36" s="833"/>
      <c r="C36" s="887"/>
      <c r="D36" s="319" t="s">
        <v>25</v>
      </c>
      <c r="E36" s="1436" t="s">
        <v>196</v>
      </c>
      <c r="F36" s="349"/>
      <c r="G36" s="1703" t="s">
        <v>43</v>
      </c>
      <c r="H36" s="546" t="s">
        <v>19</v>
      </c>
      <c r="I36" s="98">
        <f>108-13</f>
        <v>95</v>
      </c>
      <c r="J36" s="146">
        <f>102.4-29</f>
        <v>73.400000000000006</v>
      </c>
      <c r="K36" s="146">
        <v>102.4</v>
      </c>
      <c r="L36" s="146">
        <v>102.4</v>
      </c>
      <c r="M36" s="1515" t="s">
        <v>208</v>
      </c>
      <c r="N36" s="1691" t="s">
        <v>166</v>
      </c>
      <c r="O36" s="1691" t="s">
        <v>166</v>
      </c>
      <c r="P36" s="1680" t="s">
        <v>166</v>
      </c>
      <c r="Q36" s="1682" t="s">
        <v>166</v>
      </c>
      <c r="R36" s="1060"/>
    </row>
    <row r="37" spans="1:18" s="1" customFormat="1" ht="17.25" customHeight="1">
      <c r="A37" s="23"/>
      <c r="B37" s="833"/>
      <c r="C37" s="887"/>
      <c r="D37" s="932"/>
      <c r="E37" s="1635"/>
      <c r="F37" s="350"/>
      <c r="G37" s="1718"/>
      <c r="H37" s="465" t="s">
        <v>110</v>
      </c>
      <c r="I37" s="99">
        <v>6</v>
      </c>
      <c r="J37" s="147"/>
      <c r="K37" s="147"/>
      <c r="L37" s="147"/>
      <c r="M37" s="1690"/>
      <c r="N37" s="1692"/>
      <c r="O37" s="1692"/>
      <c r="P37" s="1681"/>
      <c r="Q37" s="1683"/>
      <c r="R37" s="580"/>
    </row>
    <row r="38" spans="1:18" s="1" customFormat="1" ht="24.75" customHeight="1">
      <c r="A38" s="23"/>
      <c r="B38" s="833"/>
      <c r="C38" s="887"/>
      <c r="D38" s="940"/>
      <c r="E38" s="1658"/>
      <c r="F38" s="953"/>
      <c r="G38" s="943"/>
      <c r="H38" s="465" t="s">
        <v>19</v>
      </c>
      <c r="I38" s="99">
        <f>66.7-8.5</f>
        <v>58.2</v>
      </c>
      <c r="J38" s="147">
        <v>58.2</v>
      </c>
      <c r="K38" s="147">
        <v>58.2</v>
      </c>
      <c r="L38" s="147">
        <v>58.2</v>
      </c>
      <c r="M38" s="1688" t="s">
        <v>136</v>
      </c>
      <c r="N38" s="988" t="s">
        <v>241</v>
      </c>
      <c r="O38" s="989" t="s">
        <v>241</v>
      </c>
      <c r="P38" s="989" t="s">
        <v>241</v>
      </c>
      <c r="Q38" s="990" t="s">
        <v>241</v>
      </c>
    </row>
    <row r="39" spans="1:18" s="1" customFormat="1" ht="16.5" customHeight="1">
      <c r="A39" s="23"/>
      <c r="B39" s="1352"/>
      <c r="C39" s="1355"/>
      <c r="D39" s="1351"/>
      <c r="E39" s="1353"/>
      <c r="F39" s="1354"/>
      <c r="G39" s="1356"/>
      <c r="H39" s="465" t="s">
        <v>24</v>
      </c>
      <c r="I39" s="99"/>
      <c r="J39" s="147">
        <v>29</v>
      </c>
      <c r="K39" s="147"/>
      <c r="L39" s="147"/>
      <c r="M39" s="1725"/>
      <c r="N39" s="231"/>
      <c r="O39" s="1087"/>
      <c r="P39" s="1087"/>
      <c r="Q39" s="413"/>
    </row>
    <row r="40" spans="1:18" s="1" customFormat="1" ht="35.25" customHeight="1">
      <c r="A40" s="23"/>
      <c r="B40" s="941"/>
      <c r="C40" s="944"/>
      <c r="D40" s="942"/>
      <c r="E40" s="1058" t="s">
        <v>255</v>
      </c>
      <c r="F40" s="991"/>
      <c r="G40" s="1726"/>
      <c r="H40" s="995" t="s">
        <v>19</v>
      </c>
      <c r="I40" s="996"/>
      <c r="J40" s="899">
        <v>33</v>
      </c>
      <c r="K40" s="899">
        <v>0</v>
      </c>
      <c r="L40" s="899">
        <v>0</v>
      </c>
      <c r="M40" s="987" t="s">
        <v>257</v>
      </c>
      <c r="N40" s="988"/>
      <c r="O40" s="989" t="s">
        <v>256</v>
      </c>
      <c r="P40" s="989" t="s">
        <v>269</v>
      </c>
      <c r="Q40" s="990" t="s">
        <v>269</v>
      </c>
      <c r="R40" s="1072"/>
    </row>
    <row r="41" spans="1:18" s="1" customFormat="1" ht="28.5" customHeight="1">
      <c r="A41" s="23"/>
      <c r="B41" s="1062"/>
      <c r="C41" s="1065"/>
      <c r="D41" s="1063"/>
      <c r="E41" s="1066"/>
      <c r="F41" s="991"/>
      <c r="G41" s="1726"/>
      <c r="H41" s="19"/>
      <c r="I41" s="99"/>
      <c r="J41" s="99"/>
      <c r="K41" s="99"/>
      <c r="L41" s="99"/>
      <c r="M41" s="1096" t="s">
        <v>270</v>
      </c>
      <c r="N41" s="472"/>
      <c r="O41" s="473" t="s">
        <v>18</v>
      </c>
      <c r="P41" s="796" t="s">
        <v>18</v>
      </c>
      <c r="Q41" s="474" t="s">
        <v>18</v>
      </c>
      <c r="R41" s="1072"/>
    </row>
    <row r="42" spans="1:18" s="1" customFormat="1" ht="31.5" customHeight="1">
      <c r="A42" s="23"/>
      <c r="B42" s="941"/>
      <c r="C42" s="944"/>
      <c r="D42" s="317"/>
      <c r="E42" s="960"/>
      <c r="F42" s="992"/>
      <c r="G42" s="1729"/>
      <c r="H42" s="101" t="s">
        <v>19</v>
      </c>
      <c r="I42" s="103"/>
      <c r="J42" s="148">
        <v>10.3</v>
      </c>
      <c r="K42" s="148">
        <v>10.3</v>
      </c>
      <c r="L42" s="148">
        <v>10.3</v>
      </c>
      <c r="M42" s="205" t="s">
        <v>247</v>
      </c>
      <c r="N42" s="959"/>
      <c r="O42" s="993" t="s">
        <v>248</v>
      </c>
      <c r="P42" s="994" t="s">
        <v>248</v>
      </c>
      <c r="Q42" s="514" t="s">
        <v>248</v>
      </c>
      <c r="R42" s="1073"/>
    </row>
    <row r="43" spans="1:18" s="1" customFormat="1" ht="15" customHeight="1">
      <c r="A43" s="832"/>
      <c r="B43" s="833"/>
      <c r="C43" s="885"/>
      <c r="D43" s="834" t="s">
        <v>27</v>
      </c>
      <c r="E43" s="927" t="s">
        <v>26</v>
      </c>
      <c r="F43" s="387"/>
      <c r="G43" s="936" t="s">
        <v>22</v>
      </c>
      <c r="H43" s="19" t="s">
        <v>19</v>
      </c>
      <c r="I43" s="99">
        <f>108-14</f>
        <v>94</v>
      </c>
      <c r="J43" s="99">
        <v>16.8</v>
      </c>
      <c r="K43" s="99"/>
      <c r="L43" s="99"/>
      <c r="M43" s="928" t="s">
        <v>242</v>
      </c>
      <c r="N43" s="749"/>
      <c r="O43" s="398">
        <v>1</v>
      </c>
      <c r="P43" s="877"/>
      <c r="Q43" s="851"/>
    </row>
    <row r="44" spans="1:18" s="1" customFormat="1" ht="15.75" customHeight="1">
      <c r="A44" s="832"/>
      <c r="B44" s="833"/>
      <c r="C44" s="885"/>
      <c r="D44" s="880"/>
      <c r="E44" s="927"/>
      <c r="F44" s="387"/>
      <c r="G44" s="936"/>
      <c r="H44" s="22" t="s">
        <v>110</v>
      </c>
      <c r="I44" s="103">
        <f>44-18</f>
        <v>26</v>
      </c>
      <c r="J44" s="103"/>
      <c r="K44" s="103"/>
      <c r="L44" s="103"/>
      <c r="M44" s="253" t="s">
        <v>297</v>
      </c>
      <c r="N44" s="162"/>
      <c r="O44" s="173">
        <v>39</v>
      </c>
      <c r="P44" s="24"/>
      <c r="Q44" s="193"/>
    </row>
    <row r="45" spans="1:18" s="1" customFormat="1" ht="41.25" customHeight="1">
      <c r="A45" s="832"/>
      <c r="B45" s="833"/>
      <c r="C45" s="885"/>
      <c r="D45" s="938" t="s">
        <v>29</v>
      </c>
      <c r="E45" s="1513" t="s">
        <v>135</v>
      </c>
      <c r="F45" s="1489" t="s">
        <v>91</v>
      </c>
      <c r="G45" s="934" t="s">
        <v>28</v>
      </c>
      <c r="H45" s="25" t="s">
        <v>19</v>
      </c>
      <c r="I45" s="98">
        <v>36</v>
      </c>
      <c r="J45" s="98">
        <f>32-10</f>
        <v>22</v>
      </c>
      <c r="K45" s="98">
        <v>25</v>
      </c>
      <c r="L45" s="98">
        <v>28</v>
      </c>
      <c r="M45" s="933" t="s">
        <v>245</v>
      </c>
      <c r="N45" s="945" t="s">
        <v>246</v>
      </c>
      <c r="O45" s="946" t="s">
        <v>243</v>
      </c>
      <c r="P45" s="945" t="s">
        <v>244</v>
      </c>
      <c r="Q45" s="947" t="s">
        <v>243</v>
      </c>
    </row>
    <row r="46" spans="1:18" s="1" customFormat="1" ht="23.25" customHeight="1">
      <c r="A46" s="924"/>
      <c r="B46" s="925"/>
      <c r="C46" s="937"/>
      <c r="D46" s="932"/>
      <c r="E46" s="1684"/>
      <c r="F46" s="1712"/>
      <c r="G46" s="936"/>
      <c r="H46" s="19"/>
      <c r="I46" s="99"/>
      <c r="J46" s="99"/>
      <c r="K46" s="99"/>
      <c r="L46" s="99"/>
      <c r="M46" s="948"/>
      <c r="N46" s="949"/>
      <c r="O46" s="950"/>
      <c r="P46" s="951"/>
      <c r="Q46" s="952"/>
    </row>
    <row r="47" spans="1:18" s="1" customFormat="1" ht="17.25" customHeight="1">
      <c r="A47" s="1481"/>
      <c r="B47" s="1565"/>
      <c r="C47" s="1728"/>
      <c r="D47" s="319" t="s">
        <v>32</v>
      </c>
      <c r="E47" s="1513" t="s">
        <v>122</v>
      </c>
      <c r="F47" s="1685"/>
      <c r="G47" s="1703" t="s">
        <v>30</v>
      </c>
      <c r="H47" s="25" t="s">
        <v>19</v>
      </c>
      <c r="I47" s="98">
        <v>156.6</v>
      </c>
      <c r="J47" s="98">
        <f>160.3-10</f>
        <v>150.30000000000001</v>
      </c>
      <c r="K47" s="98">
        <v>153.30000000000001</v>
      </c>
      <c r="L47" s="98">
        <v>153.30000000000001</v>
      </c>
      <c r="M47" s="528" t="s">
        <v>31</v>
      </c>
      <c r="N47" s="174">
        <v>1</v>
      </c>
      <c r="O47" s="285"/>
      <c r="P47" s="795">
        <v>1</v>
      </c>
      <c r="Q47" s="275"/>
    </row>
    <row r="48" spans="1:18" s="1" customFormat="1" ht="28.5" customHeight="1">
      <c r="A48" s="1481"/>
      <c r="B48" s="1565"/>
      <c r="C48" s="1728"/>
      <c r="D48" s="827"/>
      <c r="E48" s="1530"/>
      <c r="F48" s="1686"/>
      <c r="G48" s="1726"/>
      <c r="H48" s="19" t="s">
        <v>110</v>
      </c>
      <c r="I48" s="99"/>
      <c r="J48" s="99"/>
      <c r="K48" s="99"/>
      <c r="L48" s="99"/>
      <c r="M48" s="94" t="s">
        <v>129</v>
      </c>
      <c r="N48" s="472">
        <v>95.4</v>
      </c>
      <c r="O48" s="473" t="s">
        <v>169</v>
      </c>
      <c r="P48" s="796" t="s">
        <v>169</v>
      </c>
      <c r="Q48" s="474" t="s">
        <v>169</v>
      </c>
    </row>
    <row r="49" spans="1:18" s="1" customFormat="1" ht="15.75" customHeight="1">
      <c r="A49" s="1481"/>
      <c r="B49" s="1565"/>
      <c r="C49" s="1728"/>
      <c r="D49" s="827"/>
      <c r="E49" s="1530"/>
      <c r="F49" s="1686"/>
      <c r="G49" s="1726"/>
      <c r="H49" s="19"/>
      <c r="I49" s="99"/>
      <c r="J49" s="99"/>
      <c r="K49" s="99"/>
      <c r="L49" s="99"/>
      <c r="M49" s="464" t="s">
        <v>170</v>
      </c>
      <c r="N49" s="175">
        <v>3</v>
      </c>
      <c r="O49" s="284">
        <v>3</v>
      </c>
      <c r="P49" s="794">
        <v>3</v>
      </c>
      <c r="Q49" s="276">
        <v>3</v>
      </c>
    </row>
    <row r="50" spans="1:18" s="1" customFormat="1" ht="15" customHeight="1">
      <c r="A50" s="1481"/>
      <c r="B50" s="1565"/>
      <c r="C50" s="1728"/>
      <c r="D50" s="317"/>
      <c r="E50" s="1545"/>
      <c r="F50" s="1687"/>
      <c r="G50" s="126"/>
      <c r="H50" s="22"/>
      <c r="I50" s="103"/>
      <c r="J50" s="103"/>
      <c r="K50" s="103"/>
      <c r="L50" s="103"/>
      <c r="M50" s="93" t="s">
        <v>124</v>
      </c>
      <c r="N50" s="954">
        <v>10</v>
      </c>
      <c r="O50" s="955">
        <v>10</v>
      </c>
      <c r="P50" s="797">
        <v>6</v>
      </c>
      <c r="Q50" s="277">
        <v>8</v>
      </c>
    </row>
    <row r="51" spans="1:18" s="1" customFormat="1" ht="24" customHeight="1">
      <c r="A51" s="832"/>
      <c r="B51" s="854"/>
      <c r="C51" s="887"/>
      <c r="D51" s="827" t="s">
        <v>35</v>
      </c>
      <c r="E51" s="1557" t="s">
        <v>145</v>
      </c>
      <c r="F51" s="65"/>
      <c r="G51" s="936" t="s">
        <v>33</v>
      </c>
      <c r="H51" s="19" t="s">
        <v>19</v>
      </c>
      <c r="I51" s="99">
        <f>39+22</f>
        <v>61</v>
      </c>
      <c r="J51" s="99">
        <v>39</v>
      </c>
      <c r="K51" s="99">
        <v>61</v>
      </c>
      <c r="L51" s="99">
        <v>39</v>
      </c>
      <c r="M51" s="419" t="s">
        <v>34</v>
      </c>
      <c r="N51" s="405">
        <v>130</v>
      </c>
      <c r="O51" s="406">
        <v>130</v>
      </c>
      <c r="P51" s="798">
        <v>130</v>
      </c>
      <c r="Q51" s="278">
        <v>130</v>
      </c>
    </row>
    <row r="52" spans="1:18" s="1" customFormat="1" ht="21.75" customHeight="1">
      <c r="A52" s="832"/>
      <c r="B52" s="854"/>
      <c r="C52" s="887"/>
      <c r="D52" s="231"/>
      <c r="E52" s="1521"/>
      <c r="F52" s="20"/>
      <c r="G52" s="66"/>
      <c r="H52" s="19"/>
      <c r="I52" s="102"/>
      <c r="J52" s="102"/>
      <c r="K52" s="102"/>
      <c r="L52" s="102"/>
      <c r="M52" s="956"/>
      <c r="N52" s="579"/>
      <c r="O52" s="757"/>
      <c r="P52" s="799"/>
      <c r="Q52" s="279"/>
    </row>
    <row r="53" spans="1:18" s="1" customFormat="1" ht="27.75" customHeight="1">
      <c r="A53" s="832"/>
      <c r="B53" s="833"/>
      <c r="C53" s="885"/>
      <c r="D53" s="319" t="s">
        <v>36</v>
      </c>
      <c r="E53" s="1513" t="s">
        <v>37</v>
      </c>
      <c r="F53" s="68"/>
      <c r="G53" s="1703" t="s">
        <v>290</v>
      </c>
      <c r="H53" s="25" t="s">
        <v>19</v>
      </c>
      <c r="I53" s="98">
        <v>22</v>
      </c>
      <c r="J53" s="98">
        <v>21.2</v>
      </c>
      <c r="K53" s="98">
        <v>22</v>
      </c>
      <c r="L53" s="98">
        <v>22</v>
      </c>
      <c r="M53" s="931" t="s">
        <v>38</v>
      </c>
      <c r="N53" s="176">
        <v>38</v>
      </c>
      <c r="O53" s="228">
        <v>20</v>
      </c>
      <c r="P53" s="164">
        <v>20</v>
      </c>
      <c r="Q53" s="192">
        <v>20</v>
      </c>
    </row>
    <row r="54" spans="1:18" s="1" customFormat="1" ht="15" customHeight="1">
      <c r="A54" s="23"/>
      <c r="B54" s="833"/>
      <c r="C54" s="885"/>
      <c r="D54" s="317"/>
      <c r="E54" s="1545"/>
      <c r="F54" s="21"/>
      <c r="G54" s="1727"/>
      <c r="H54" s="22"/>
      <c r="I54" s="103"/>
      <c r="J54" s="103"/>
      <c r="K54" s="103"/>
      <c r="L54" s="103"/>
      <c r="M54" s="496"/>
      <c r="N54" s="173"/>
      <c r="O54" s="24"/>
      <c r="P54" s="162"/>
      <c r="Q54" s="193"/>
    </row>
    <row r="55" spans="1:18" s="1" customFormat="1" ht="17.25" customHeight="1">
      <c r="A55" s="23"/>
      <c r="B55" s="854"/>
      <c r="C55" s="887"/>
      <c r="D55" s="879" t="s">
        <v>39</v>
      </c>
      <c r="E55" s="1513" t="s">
        <v>300</v>
      </c>
      <c r="F55" s="68"/>
      <c r="G55" s="1703" t="s">
        <v>291</v>
      </c>
      <c r="H55" s="359" t="s">
        <v>19</v>
      </c>
      <c r="I55" s="98">
        <f>43.7-19.4</f>
        <v>24.300000000000004</v>
      </c>
      <c r="J55" s="98">
        <v>43.7</v>
      </c>
      <c r="K55" s="98">
        <v>43.7</v>
      </c>
      <c r="L55" s="98">
        <v>43.7</v>
      </c>
      <c r="M55" s="414" t="s">
        <v>303</v>
      </c>
      <c r="N55" s="176">
        <v>27</v>
      </c>
      <c r="O55" s="228">
        <v>55</v>
      </c>
      <c r="P55" s="164">
        <v>55</v>
      </c>
      <c r="Q55" s="192">
        <v>55</v>
      </c>
    </row>
    <row r="56" spans="1:18" s="1" customFormat="1" ht="19.5" customHeight="1">
      <c r="A56" s="23"/>
      <c r="B56" s="854"/>
      <c r="C56" s="887"/>
      <c r="D56" s="880"/>
      <c r="E56" s="1640"/>
      <c r="F56" s="21"/>
      <c r="G56" s="1729"/>
      <c r="H56" s="115"/>
      <c r="I56" s="103"/>
      <c r="J56" s="103"/>
      <c r="K56" s="103"/>
      <c r="L56" s="103"/>
      <c r="M56" s="93"/>
      <c r="N56" s="173"/>
      <c r="O56" s="24"/>
      <c r="P56" s="162"/>
      <c r="Q56" s="193"/>
    </row>
    <row r="57" spans="1:18" s="1" customFormat="1" ht="41.25" customHeight="1">
      <c r="A57" s="23"/>
      <c r="B57" s="854"/>
      <c r="C57" s="887"/>
      <c r="D57" s="318" t="s">
        <v>42</v>
      </c>
      <c r="E57" s="930" t="s">
        <v>146</v>
      </c>
      <c r="F57" s="957"/>
      <c r="G57" s="308" t="s">
        <v>33</v>
      </c>
      <c r="H57" s="115" t="s">
        <v>19</v>
      </c>
      <c r="I57" s="104">
        <v>12</v>
      </c>
      <c r="J57" s="104"/>
      <c r="K57" s="104">
        <v>14</v>
      </c>
      <c r="L57" s="104"/>
      <c r="M57" s="367" t="s">
        <v>304</v>
      </c>
      <c r="N57" s="368">
        <v>1</v>
      </c>
      <c r="O57" s="369"/>
      <c r="P57" s="801">
        <v>1</v>
      </c>
      <c r="Q57" s="370"/>
    </row>
    <row r="58" spans="1:18" s="1" customFormat="1" ht="16.5" customHeight="1" thickBot="1">
      <c r="A58" s="26"/>
      <c r="B58" s="837"/>
      <c r="C58" s="324"/>
      <c r="D58" s="311"/>
      <c r="E58" s="309"/>
      <c r="F58" s="310"/>
      <c r="G58" s="200"/>
      <c r="H58" s="463" t="s">
        <v>47</v>
      </c>
      <c r="I58" s="105">
        <f>SUM(I14:I57)</f>
        <v>9593.1</v>
      </c>
      <c r="J58" s="105">
        <f>SUM(J14:J57)</f>
        <v>10126.999999999998</v>
      </c>
      <c r="K58" s="105">
        <f>SUM(K14:K57)</f>
        <v>9830.1</v>
      </c>
      <c r="L58" s="105">
        <f>SUM(L14:L57)</f>
        <v>9816.1</v>
      </c>
      <c r="M58" s="312"/>
      <c r="N58" s="313"/>
      <c r="O58" s="314"/>
      <c r="P58" s="314"/>
      <c r="Q58" s="315"/>
    </row>
    <row r="59" spans="1:18" s="1" customFormat="1" ht="18" customHeight="1">
      <c r="A59" s="1481" t="s">
        <v>13</v>
      </c>
      <c r="B59" s="1565" t="s">
        <v>13</v>
      </c>
      <c r="C59" s="1499" t="s">
        <v>21</v>
      </c>
      <c r="D59" s="77"/>
      <c r="E59" s="1557" t="s">
        <v>45</v>
      </c>
      <c r="F59" s="1509"/>
      <c r="G59" s="1730" t="s">
        <v>289</v>
      </c>
      <c r="H59" s="261" t="s">
        <v>19</v>
      </c>
      <c r="I59" s="99">
        <f>235-1</f>
        <v>234</v>
      </c>
      <c r="J59" s="99">
        <v>246.1</v>
      </c>
      <c r="K59" s="99">
        <v>246.1</v>
      </c>
      <c r="L59" s="99">
        <v>246.1</v>
      </c>
      <c r="M59" s="1501" t="s">
        <v>46</v>
      </c>
      <c r="N59" s="397">
        <v>9</v>
      </c>
      <c r="O59" s="1587">
        <v>9</v>
      </c>
      <c r="P59" s="1674">
        <v>9</v>
      </c>
      <c r="Q59" s="1578">
        <v>9</v>
      </c>
    </row>
    <row r="60" spans="1:18" s="1" customFormat="1" ht="16.5" customHeight="1">
      <c r="A60" s="1481"/>
      <c r="B60" s="1565"/>
      <c r="C60" s="1499"/>
      <c r="D60" s="77"/>
      <c r="E60" s="1557"/>
      <c r="F60" s="1509"/>
      <c r="G60" s="1722"/>
      <c r="H60" s="22"/>
      <c r="I60" s="103"/>
      <c r="J60" s="103"/>
      <c r="K60" s="802"/>
      <c r="L60" s="103"/>
      <c r="M60" s="1519"/>
      <c r="N60" s="398"/>
      <c r="O60" s="1588"/>
      <c r="P60" s="1675"/>
      <c r="Q60" s="1579"/>
    </row>
    <row r="61" spans="1:18" s="1" customFormat="1" ht="19.5" customHeight="1" thickBot="1">
      <c r="A61" s="1495"/>
      <c r="B61" s="1570"/>
      <c r="C61" s="1504"/>
      <c r="D61" s="71"/>
      <c r="E61" s="1551"/>
      <c r="F61" s="1510"/>
      <c r="G61" s="1731"/>
      <c r="H61" s="821" t="s">
        <v>47</v>
      </c>
      <c r="I61" s="105">
        <f t="shared" ref="I61:L61" si="0">SUM(I59:I60)</f>
        <v>234</v>
      </c>
      <c r="J61" s="105">
        <f t="shared" si="0"/>
        <v>246.1</v>
      </c>
      <c r="K61" s="266">
        <f t="shared" ref="K61" si="1">SUM(K59:K60)</f>
        <v>246.1</v>
      </c>
      <c r="L61" s="105">
        <f t="shared" si="0"/>
        <v>246.1</v>
      </c>
      <c r="M61" s="1575"/>
      <c r="N61" s="399"/>
      <c r="O61" s="1589"/>
      <c r="P61" s="1676"/>
      <c r="Q61" s="1580"/>
    </row>
    <row r="62" spans="1:18" s="1" customFormat="1" ht="24.75" customHeight="1">
      <c r="A62" s="1494" t="s">
        <v>13</v>
      </c>
      <c r="B62" s="1564" t="s">
        <v>13</v>
      </c>
      <c r="C62" s="1503" t="s">
        <v>25</v>
      </c>
      <c r="D62" s="230"/>
      <c r="E62" s="844" t="s">
        <v>48</v>
      </c>
      <c r="F62" s="1508"/>
      <c r="G62" s="1730" t="s">
        <v>289</v>
      </c>
      <c r="H62" s="261" t="s">
        <v>19</v>
      </c>
      <c r="I62" s="134">
        <f>317.5-0.6</f>
        <v>316.89999999999998</v>
      </c>
      <c r="J62" s="134">
        <v>315.2</v>
      </c>
      <c r="K62" s="134">
        <v>315.2</v>
      </c>
      <c r="L62" s="134">
        <v>315.2</v>
      </c>
      <c r="M62" s="287" t="s">
        <v>49</v>
      </c>
      <c r="N62" s="397">
        <v>31</v>
      </c>
      <c r="O62" s="847">
        <v>31</v>
      </c>
      <c r="P62" s="876">
        <v>31</v>
      </c>
      <c r="Q62" s="850">
        <v>31</v>
      </c>
    </row>
    <row r="63" spans="1:18" s="1" customFormat="1" ht="15" customHeight="1">
      <c r="A63" s="1481"/>
      <c r="B63" s="1565"/>
      <c r="C63" s="1499"/>
      <c r="D63" s="77"/>
      <c r="E63" s="846"/>
      <c r="F63" s="1509"/>
      <c r="G63" s="1701"/>
      <c r="H63" s="22"/>
      <c r="I63" s="103"/>
      <c r="J63" s="103"/>
      <c r="K63" s="802"/>
      <c r="L63" s="103"/>
      <c r="M63" s="863"/>
      <c r="N63" s="398"/>
      <c r="O63" s="848"/>
      <c r="P63" s="877"/>
      <c r="Q63" s="851"/>
    </row>
    <row r="64" spans="1:18" s="1" customFormat="1" ht="24.75" customHeight="1">
      <c r="A64" s="1481"/>
      <c r="B64" s="1565"/>
      <c r="C64" s="1499"/>
      <c r="D64" s="77"/>
      <c r="E64" s="846"/>
      <c r="F64" s="1509"/>
      <c r="G64" s="872" t="s">
        <v>22</v>
      </c>
      <c r="H64" s="18" t="s">
        <v>19</v>
      </c>
      <c r="I64" s="104">
        <v>49.8</v>
      </c>
      <c r="J64" s="104">
        <v>48.8</v>
      </c>
      <c r="K64" s="803">
        <v>48.8</v>
      </c>
      <c r="L64" s="104">
        <v>48.8</v>
      </c>
      <c r="M64" s="419"/>
      <c r="N64" s="398"/>
      <c r="O64" s="848"/>
      <c r="P64" s="877"/>
      <c r="Q64" s="851"/>
      <c r="R64" s="580"/>
    </row>
    <row r="65" spans="1:20" s="1" customFormat="1" ht="19.5" customHeight="1" thickBot="1">
      <c r="A65" s="1495"/>
      <c r="B65" s="1570"/>
      <c r="C65" s="1504"/>
      <c r="D65" s="71"/>
      <c r="E65" s="845"/>
      <c r="F65" s="1510"/>
      <c r="G65" s="874"/>
      <c r="H65" s="821" t="s">
        <v>47</v>
      </c>
      <c r="I65" s="105">
        <f t="shared" ref="I65:L65" si="2">SUM(I62:I64)</f>
        <v>366.7</v>
      </c>
      <c r="J65" s="105">
        <f t="shared" si="2"/>
        <v>364</v>
      </c>
      <c r="K65" s="266">
        <f t="shared" ref="K65" si="3">SUM(K62:K64)</f>
        <v>364</v>
      </c>
      <c r="L65" s="105">
        <f t="shared" si="2"/>
        <v>364</v>
      </c>
      <c r="M65" s="95"/>
      <c r="N65" s="377"/>
      <c r="O65" s="859"/>
      <c r="P65" s="869"/>
      <c r="Q65" s="861"/>
    </row>
    <row r="66" spans="1:20" s="1" customFormat="1" ht="18" customHeight="1">
      <c r="A66" s="1494" t="s">
        <v>13</v>
      </c>
      <c r="B66" s="1496" t="s">
        <v>13</v>
      </c>
      <c r="C66" s="1503" t="s">
        <v>27</v>
      </c>
      <c r="D66" s="230"/>
      <c r="E66" s="1550" t="s">
        <v>99</v>
      </c>
      <c r="F66" s="1508"/>
      <c r="G66" s="1730" t="s">
        <v>289</v>
      </c>
      <c r="H66" s="1172" t="s">
        <v>19</v>
      </c>
      <c r="I66" s="134">
        <f>215.1+44.8-3.9</f>
        <v>255.99999999999997</v>
      </c>
      <c r="J66" s="134">
        <v>357.6</v>
      </c>
      <c r="K66" s="202">
        <v>357.6</v>
      </c>
      <c r="L66" s="134">
        <v>357.6</v>
      </c>
      <c r="M66" s="1501" t="s">
        <v>100</v>
      </c>
      <c r="N66" s="397">
        <v>13</v>
      </c>
      <c r="O66" s="1210">
        <v>17</v>
      </c>
      <c r="P66" s="1670">
        <v>17</v>
      </c>
      <c r="Q66" s="1561">
        <v>17</v>
      </c>
      <c r="R66" s="1191"/>
    </row>
    <row r="67" spans="1:20" s="1" customFormat="1" ht="12.75" customHeight="1">
      <c r="A67" s="1481"/>
      <c r="B67" s="1482"/>
      <c r="C67" s="1499"/>
      <c r="D67" s="77"/>
      <c r="E67" s="1557"/>
      <c r="F67" s="1509"/>
      <c r="G67" s="1722"/>
      <c r="H67" s="755" t="s">
        <v>110</v>
      </c>
      <c r="I67" s="99">
        <v>18</v>
      </c>
      <c r="J67" s="99">
        <v>17.399999999999999</v>
      </c>
      <c r="K67" s="137"/>
      <c r="L67" s="99"/>
      <c r="M67" s="1669"/>
      <c r="N67" s="398"/>
      <c r="O67" s="533"/>
      <c r="P67" s="1671"/>
      <c r="Q67" s="1562"/>
    </row>
    <row r="68" spans="1:20" s="1" customFormat="1" ht="27.75" customHeight="1">
      <c r="A68" s="1481"/>
      <c r="B68" s="1482"/>
      <c r="C68" s="1499"/>
      <c r="D68" s="77"/>
      <c r="E68" s="1557"/>
      <c r="F68" s="1509"/>
      <c r="G68" s="1701"/>
      <c r="H68" s="115"/>
      <c r="I68" s="103"/>
      <c r="J68" s="103"/>
      <c r="K68" s="802"/>
      <c r="L68" s="103"/>
      <c r="M68" s="1209" t="s">
        <v>226</v>
      </c>
      <c r="N68" s="970">
        <v>1</v>
      </c>
      <c r="O68" s="1211">
        <v>1</v>
      </c>
      <c r="P68" s="1671"/>
      <c r="Q68" s="1562"/>
    </row>
    <row r="69" spans="1:20" s="1" customFormat="1" ht="18.75" customHeight="1">
      <c r="A69" s="1481"/>
      <c r="B69" s="1482"/>
      <c r="C69" s="1499"/>
      <c r="D69" s="77"/>
      <c r="E69" s="1557"/>
      <c r="F69" s="1509"/>
      <c r="G69" s="872" t="s">
        <v>22</v>
      </c>
      <c r="H69" s="288" t="s">
        <v>19</v>
      </c>
      <c r="I69" s="104">
        <v>3.9</v>
      </c>
      <c r="J69" s="104">
        <v>8.8000000000000007</v>
      </c>
      <c r="K69" s="803">
        <v>3.9</v>
      </c>
      <c r="L69" s="104">
        <v>3.9</v>
      </c>
      <c r="M69" s="843"/>
      <c r="N69" s="398"/>
      <c r="O69" s="533"/>
      <c r="P69" s="1671"/>
      <c r="Q69" s="1562"/>
    </row>
    <row r="70" spans="1:20" s="1" customFormat="1" ht="19.5" customHeight="1" thickBot="1">
      <c r="A70" s="1495"/>
      <c r="B70" s="1497"/>
      <c r="C70" s="1504"/>
      <c r="D70" s="71"/>
      <c r="E70" s="1551"/>
      <c r="F70" s="1510"/>
      <c r="G70" s="874"/>
      <c r="H70" s="821" t="s">
        <v>47</v>
      </c>
      <c r="I70" s="105">
        <f>SUM(I66:I69)</f>
        <v>277.89999999999998</v>
      </c>
      <c r="J70" s="105">
        <f t="shared" ref="J70:L70" si="4">SUM(J66:J69)</f>
        <v>383.8</v>
      </c>
      <c r="K70" s="804">
        <f t="shared" ref="K70" si="5">SUM(K66:K69)</f>
        <v>361.5</v>
      </c>
      <c r="L70" s="270">
        <f t="shared" si="4"/>
        <v>361.5</v>
      </c>
      <c r="M70" s="856"/>
      <c r="N70" s="399"/>
      <c r="O70" s="1212"/>
      <c r="P70" s="1672"/>
      <c r="Q70" s="1563"/>
    </row>
    <row r="71" spans="1:20" s="1" customFormat="1" ht="32.25" customHeight="1">
      <c r="A71" s="1494" t="s">
        <v>13</v>
      </c>
      <c r="B71" s="1564" t="s">
        <v>13</v>
      </c>
      <c r="C71" s="1503" t="s">
        <v>29</v>
      </c>
      <c r="D71" s="230"/>
      <c r="E71" s="1550" t="s">
        <v>50</v>
      </c>
      <c r="F71" s="1508"/>
      <c r="G71" s="873" t="s">
        <v>22</v>
      </c>
      <c r="H71" s="33" t="s">
        <v>19</v>
      </c>
      <c r="I71" s="106">
        <v>15.7</v>
      </c>
      <c r="J71" s="97">
        <v>23</v>
      </c>
      <c r="K71" s="145">
        <v>23</v>
      </c>
      <c r="L71" s="106">
        <v>23</v>
      </c>
      <c r="M71" s="287"/>
      <c r="N71" s="376"/>
      <c r="O71" s="857"/>
      <c r="P71" s="868"/>
      <c r="Q71" s="860"/>
      <c r="R71" s="1134"/>
    </row>
    <row r="72" spans="1:20" s="1" customFormat="1" ht="15.75" customHeight="1" thickBot="1">
      <c r="A72" s="1495"/>
      <c r="B72" s="1570"/>
      <c r="C72" s="1504"/>
      <c r="D72" s="71"/>
      <c r="E72" s="1673"/>
      <c r="F72" s="1510"/>
      <c r="G72" s="127"/>
      <c r="H72" s="821" t="s">
        <v>47</v>
      </c>
      <c r="I72" s="107">
        <f t="shared" ref="I72:L72" si="6">SUM(I71:I71)</f>
        <v>15.7</v>
      </c>
      <c r="J72" s="107">
        <f t="shared" si="6"/>
        <v>23</v>
      </c>
      <c r="K72" s="85">
        <f t="shared" ref="K72" si="7">SUM(K71:K71)</f>
        <v>23</v>
      </c>
      <c r="L72" s="107">
        <f t="shared" si="6"/>
        <v>23</v>
      </c>
      <c r="M72" s="96"/>
      <c r="N72" s="399"/>
      <c r="O72" s="849"/>
      <c r="P72" s="878"/>
      <c r="Q72" s="852"/>
    </row>
    <row r="73" spans="1:20" s="1" customFormat="1" ht="28.5" customHeight="1">
      <c r="A73" s="835" t="s">
        <v>13</v>
      </c>
      <c r="B73" s="289" t="s">
        <v>13</v>
      </c>
      <c r="C73" s="325" t="s">
        <v>32</v>
      </c>
      <c r="D73" s="230"/>
      <c r="E73" s="864" t="s">
        <v>51</v>
      </c>
      <c r="F73" s="290"/>
      <c r="G73" s="291"/>
      <c r="H73" s="33" t="s">
        <v>19</v>
      </c>
      <c r="I73" s="134"/>
      <c r="J73" s="139"/>
      <c r="K73" s="134"/>
      <c r="L73" s="134"/>
      <c r="M73" s="247"/>
      <c r="N73" s="875"/>
      <c r="O73" s="286"/>
      <c r="P73" s="805"/>
      <c r="Q73" s="195"/>
    </row>
    <row r="74" spans="1:20" s="1" customFormat="1" ht="15.75" customHeight="1">
      <c r="A74" s="832"/>
      <c r="B74" s="27"/>
      <c r="C74" s="326"/>
      <c r="D74" s="466" t="s">
        <v>13</v>
      </c>
      <c r="E74" s="1513" t="s">
        <v>104</v>
      </c>
      <c r="F74" s="72"/>
      <c r="G74" s="1703" t="s">
        <v>289</v>
      </c>
      <c r="H74" s="25" t="s">
        <v>19</v>
      </c>
      <c r="I74" s="487">
        <f>52.8+2.4</f>
        <v>55.199999999999996</v>
      </c>
      <c r="J74" s="487">
        <v>55.2</v>
      </c>
      <c r="K74" s="487">
        <v>55.2</v>
      </c>
      <c r="L74" s="487">
        <v>55.2</v>
      </c>
      <c r="M74" s="1523" t="s">
        <v>93</v>
      </c>
      <c r="N74" s="176">
        <v>3</v>
      </c>
      <c r="O74" s="228">
        <v>3</v>
      </c>
      <c r="P74" s="164">
        <v>3</v>
      </c>
      <c r="Q74" s="192">
        <v>3</v>
      </c>
    </row>
    <row r="75" spans="1:20" s="1" customFormat="1" ht="21.75" customHeight="1">
      <c r="A75" s="832"/>
      <c r="B75" s="27"/>
      <c r="C75" s="326"/>
      <c r="D75" s="839"/>
      <c r="E75" s="1528"/>
      <c r="F75" s="232"/>
      <c r="G75" s="1729"/>
      <c r="H75" s="19"/>
      <c r="I75" s="99"/>
      <c r="J75" s="83"/>
      <c r="K75" s="99"/>
      <c r="L75" s="99"/>
      <c r="M75" s="1732"/>
      <c r="N75" s="398"/>
      <c r="O75" s="848"/>
      <c r="P75" s="877"/>
      <c r="Q75" s="851"/>
    </row>
    <row r="76" spans="1:20" s="1" customFormat="1" ht="19.5" customHeight="1">
      <c r="A76" s="832"/>
      <c r="B76" s="27"/>
      <c r="C76" s="326"/>
      <c r="D76" s="839"/>
      <c r="E76" s="1528"/>
      <c r="F76" s="1190" t="s">
        <v>202</v>
      </c>
      <c r="G76" s="1703" t="s">
        <v>292</v>
      </c>
      <c r="H76" s="404" t="s">
        <v>19</v>
      </c>
      <c r="I76" s="98">
        <v>20.5</v>
      </c>
      <c r="J76" s="109">
        <v>49.5</v>
      </c>
      <c r="K76" s="98">
        <f>20.5+29</f>
        <v>49.5</v>
      </c>
      <c r="L76" s="98">
        <f>20.5+29</f>
        <v>49.5</v>
      </c>
      <c r="M76" s="1439" t="s">
        <v>114</v>
      </c>
      <c r="N76" s="520">
        <v>1</v>
      </c>
      <c r="O76" s="521">
        <v>1</v>
      </c>
      <c r="P76" s="806">
        <v>1</v>
      </c>
      <c r="Q76" s="522">
        <v>1</v>
      </c>
    </row>
    <row r="77" spans="1:20" s="1" customFormat="1" ht="31.5" customHeight="1">
      <c r="A77" s="832"/>
      <c r="B77" s="27"/>
      <c r="C77" s="326"/>
      <c r="D77" s="855"/>
      <c r="E77" s="862"/>
      <c r="F77" s="232"/>
      <c r="G77" s="1735"/>
      <c r="H77" s="519" t="s">
        <v>110</v>
      </c>
      <c r="I77" s="103">
        <f>22.6</f>
        <v>22.6</v>
      </c>
      <c r="J77" s="110">
        <v>19.8</v>
      </c>
      <c r="K77" s="103"/>
      <c r="L77" s="103"/>
      <c r="M77" s="1734"/>
      <c r="N77" s="523"/>
      <c r="O77" s="524"/>
      <c r="P77" s="807"/>
      <c r="Q77" s="525"/>
    </row>
    <row r="78" spans="1:20" s="1" customFormat="1" ht="30" customHeight="1">
      <c r="A78" s="832"/>
      <c r="B78" s="27"/>
      <c r="C78" s="326"/>
      <c r="D78" s="883" t="s">
        <v>21</v>
      </c>
      <c r="E78" s="1513" t="s">
        <v>306</v>
      </c>
      <c r="F78" s="1024" t="s">
        <v>202</v>
      </c>
      <c r="G78" s="1703" t="s">
        <v>292</v>
      </c>
      <c r="H78" s="17" t="s">
        <v>19</v>
      </c>
      <c r="I78" s="98">
        <f>65.2-15.6</f>
        <v>49.6</v>
      </c>
      <c r="J78" s="109">
        <f>60.5-3.6</f>
        <v>56.9</v>
      </c>
      <c r="K78" s="98">
        <v>56.9</v>
      </c>
      <c r="L78" s="98">
        <v>56.9</v>
      </c>
      <c r="M78" s="348" t="s">
        <v>53</v>
      </c>
      <c r="N78" s="174">
        <v>10</v>
      </c>
      <c r="O78" s="285">
        <v>9</v>
      </c>
      <c r="P78" s="800">
        <v>9</v>
      </c>
      <c r="Q78" s="280">
        <v>9</v>
      </c>
      <c r="R78" s="1075"/>
    </row>
    <row r="79" spans="1:20" s="1" customFormat="1" ht="53.25" customHeight="1">
      <c r="A79" s="832"/>
      <c r="B79" s="27"/>
      <c r="C79" s="316"/>
      <c r="D79" s="839"/>
      <c r="E79" s="1530"/>
      <c r="F79" s="63"/>
      <c r="G79" s="1733"/>
      <c r="H79" s="89" t="s">
        <v>110</v>
      </c>
      <c r="I79" s="220">
        <v>2.2000000000000002</v>
      </c>
      <c r="J79" s="666"/>
      <c r="K79" s="509"/>
      <c r="L79" s="509"/>
      <c r="M79" s="135" t="s">
        <v>171</v>
      </c>
      <c r="N79" s="175">
        <v>17</v>
      </c>
      <c r="O79" s="284">
        <v>22</v>
      </c>
      <c r="P79" s="794">
        <v>22</v>
      </c>
      <c r="Q79" s="276">
        <v>22</v>
      </c>
      <c r="T79" s="241"/>
    </row>
    <row r="80" spans="1:20" s="1" customFormat="1" ht="40.5" customHeight="1">
      <c r="A80" s="832"/>
      <c r="B80" s="27"/>
      <c r="C80" s="316"/>
      <c r="D80" s="1119"/>
      <c r="E80" s="1530"/>
      <c r="F80" s="63"/>
      <c r="G80" s="476"/>
      <c r="H80" s="89"/>
      <c r="I80" s="509"/>
      <c r="J80" s="666"/>
      <c r="K80" s="509"/>
      <c r="L80" s="509"/>
      <c r="M80" s="135" t="s">
        <v>186</v>
      </c>
      <c r="N80" s="175">
        <v>315</v>
      </c>
      <c r="O80" s="1128">
        <v>315</v>
      </c>
      <c r="P80" s="794">
        <v>315</v>
      </c>
      <c r="Q80" s="276">
        <v>315</v>
      </c>
      <c r="R80" s="1126"/>
    </row>
    <row r="81" spans="1:20" s="1" customFormat="1" ht="53.25" customHeight="1">
      <c r="A81" s="1118"/>
      <c r="B81" s="27"/>
      <c r="C81" s="316"/>
      <c r="D81" s="1119"/>
      <c r="E81" s="1532"/>
      <c r="F81" s="63"/>
      <c r="G81" s="1125"/>
      <c r="H81" s="89" t="s">
        <v>19</v>
      </c>
      <c r="I81" s="100"/>
      <c r="J81" s="140">
        <v>3.6</v>
      </c>
      <c r="K81" s="509"/>
      <c r="L81" s="509"/>
      <c r="M81" s="881" t="s">
        <v>307</v>
      </c>
      <c r="N81" s="398"/>
      <c r="O81" s="1121">
        <v>350</v>
      </c>
      <c r="P81" s="1124"/>
      <c r="Q81" s="1122"/>
    </row>
    <row r="82" spans="1:20" s="1" customFormat="1" ht="25.5" customHeight="1">
      <c r="A82" s="832"/>
      <c r="B82" s="27"/>
      <c r="C82" s="316"/>
      <c r="D82" s="1139" t="s">
        <v>25</v>
      </c>
      <c r="E82" s="1555" t="s">
        <v>198</v>
      </c>
      <c r="F82" s="1146" t="s">
        <v>202</v>
      </c>
      <c r="G82" s="128"/>
      <c r="H82" s="294" t="s">
        <v>19</v>
      </c>
      <c r="I82" s="218">
        <f>56.4-35-3+5.9</f>
        <v>24.299999999999997</v>
      </c>
      <c r="J82" s="225">
        <f>42.4-10</f>
        <v>32.4</v>
      </c>
      <c r="K82" s="218">
        <v>60.4</v>
      </c>
      <c r="L82" s="218">
        <v>42.4</v>
      </c>
      <c r="M82" s="515" t="s">
        <v>187</v>
      </c>
      <c r="N82" s="405">
        <v>35</v>
      </c>
      <c r="O82" s="406">
        <v>35</v>
      </c>
      <c r="P82" s="808">
        <v>35</v>
      </c>
      <c r="Q82" s="407">
        <v>35</v>
      </c>
    </row>
    <row r="83" spans="1:20" s="1" customFormat="1" ht="27" customHeight="1">
      <c r="A83" s="832"/>
      <c r="B83" s="27"/>
      <c r="C83" s="316"/>
      <c r="D83" s="1140"/>
      <c r="E83" s="1556"/>
      <c r="F83" s="64"/>
      <c r="G83" s="128"/>
      <c r="H83" s="90" t="s">
        <v>110</v>
      </c>
      <c r="I83" s="964"/>
      <c r="J83" s="1357">
        <v>0.5</v>
      </c>
      <c r="K83" s="964"/>
      <c r="L83" s="964"/>
      <c r="M83" s="1093" t="s">
        <v>207</v>
      </c>
      <c r="N83" s="1092"/>
      <c r="O83" s="1208">
        <v>1</v>
      </c>
      <c r="P83" s="1094">
        <v>1</v>
      </c>
      <c r="Q83" s="1095">
        <v>1</v>
      </c>
    </row>
    <row r="84" spans="1:20" s="1" customFormat="1" ht="25.5" customHeight="1">
      <c r="A84" s="1020"/>
      <c r="B84" s="27"/>
      <c r="C84" s="316"/>
      <c r="D84" s="1021"/>
      <c r="E84" s="1736" t="s">
        <v>173</v>
      </c>
      <c r="F84" s="1034" t="s">
        <v>202</v>
      </c>
      <c r="G84" s="1035"/>
      <c r="H84" s="1032" t="s">
        <v>19</v>
      </c>
      <c r="I84" s="977">
        <f>36.4-5</f>
        <v>31.4</v>
      </c>
      <c r="J84" s="1007"/>
      <c r="K84" s="1007"/>
      <c r="L84" s="1007"/>
      <c r="M84" s="1036" t="s">
        <v>174</v>
      </c>
      <c r="N84" s="1025">
        <v>1</v>
      </c>
      <c r="O84" s="406"/>
      <c r="P84" s="808"/>
      <c r="Q84" s="407"/>
    </row>
    <row r="85" spans="1:20" s="1" customFormat="1" ht="25.5" customHeight="1">
      <c r="A85" s="1020"/>
      <c r="B85" s="27"/>
      <c r="C85" s="316"/>
      <c r="D85" s="1022"/>
      <c r="E85" s="1737"/>
      <c r="F85" s="1026"/>
      <c r="G85" s="1037"/>
      <c r="H85" s="1027"/>
      <c r="I85" s="1028"/>
      <c r="J85" s="1029"/>
      <c r="K85" s="1029"/>
      <c r="L85" s="1029"/>
      <c r="M85" s="1030" t="s">
        <v>172</v>
      </c>
      <c r="N85" s="1031">
        <v>1</v>
      </c>
      <c r="O85" s="760"/>
      <c r="P85" s="1038"/>
      <c r="Q85" s="761"/>
    </row>
    <row r="86" spans="1:20" s="1" customFormat="1" ht="15.75" customHeight="1" thickBot="1">
      <c r="A86" s="836"/>
      <c r="B86" s="292"/>
      <c r="C86" s="327"/>
      <c r="D86" s="311"/>
      <c r="E86" s="491"/>
      <c r="F86" s="492"/>
      <c r="G86" s="430"/>
      <c r="H86" s="821" t="s">
        <v>47</v>
      </c>
      <c r="I86" s="105">
        <f>SUM(I74:I85)</f>
        <v>205.79999999999998</v>
      </c>
      <c r="J86" s="105">
        <f>SUM(J74:J85)</f>
        <v>217.9</v>
      </c>
      <c r="K86" s="105">
        <f>SUM(K74:K85)</f>
        <v>222</v>
      </c>
      <c r="L86" s="105">
        <f>SUM(L74:L85)</f>
        <v>204</v>
      </c>
      <c r="M86" s="493"/>
      <c r="N86" s="517"/>
      <c r="O86" s="518"/>
      <c r="P86" s="518"/>
      <c r="Q86" s="1033"/>
    </row>
    <row r="87" spans="1:20" s="4" customFormat="1" ht="18" customHeight="1">
      <c r="A87" s="1481" t="s">
        <v>13</v>
      </c>
      <c r="B87" s="1482" t="s">
        <v>13</v>
      </c>
      <c r="C87" s="1499" t="s">
        <v>35</v>
      </c>
      <c r="D87" s="77"/>
      <c r="E87" s="1557" t="s">
        <v>54</v>
      </c>
      <c r="F87" s="1552"/>
      <c r="G87" s="1722" t="s">
        <v>293</v>
      </c>
      <c r="H87" s="19" t="s">
        <v>19</v>
      </c>
      <c r="I87" s="99">
        <f>91-54</f>
        <v>37</v>
      </c>
      <c r="J87" s="99">
        <v>3337.6</v>
      </c>
      <c r="K87" s="99">
        <v>1478</v>
      </c>
      <c r="L87" s="99">
        <v>1739</v>
      </c>
      <c r="M87" s="1123" t="s">
        <v>149</v>
      </c>
      <c r="N87" s="398">
        <v>2</v>
      </c>
      <c r="O87" s="848">
        <v>3</v>
      </c>
      <c r="P87" s="877">
        <v>2</v>
      </c>
      <c r="Q87" s="850">
        <v>3</v>
      </c>
      <c r="R87" s="1076"/>
      <c r="T87" s="1333"/>
    </row>
    <row r="88" spans="1:20" s="4" customFormat="1" ht="15.75" customHeight="1">
      <c r="A88" s="1481"/>
      <c r="B88" s="1482"/>
      <c r="C88" s="1499"/>
      <c r="D88" s="77"/>
      <c r="E88" s="1557"/>
      <c r="F88" s="1552"/>
      <c r="G88" s="1722"/>
      <c r="H88" s="848" t="s">
        <v>19</v>
      </c>
      <c r="I88" s="99">
        <v>2904.2</v>
      </c>
      <c r="J88" s="99"/>
      <c r="K88" s="99"/>
      <c r="L88" s="99"/>
      <c r="M88" s="1123"/>
      <c r="N88" s="398"/>
      <c r="O88" s="848"/>
      <c r="P88" s="877"/>
      <c r="Q88" s="851"/>
    </row>
    <row r="89" spans="1:20" s="4" customFormat="1" ht="11.25" customHeight="1">
      <c r="A89" s="1481"/>
      <c r="B89" s="1482"/>
      <c r="C89" s="1499"/>
      <c r="D89" s="77"/>
      <c r="E89" s="1557"/>
      <c r="F89" s="1552"/>
      <c r="G89" s="1722"/>
      <c r="H89" s="848"/>
      <c r="I89" s="112"/>
      <c r="J89" s="112"/>
      <c r="K89" s="112"/>
      <c r="L89" s="112"/>
      <c r="M89" s="1123"/>
      <c r="N89" s="398"/>
      <c r="O89" s="848"/>
      <c r="P89" s="877"/>
      <c r="Q89" s="851"/>
    </row>
    <row r="90" spans="1:20" s="4" customFormat="1" ht="13.5" thickBot="1">
      <c r="A90" s="1495"/>
      <c r="B90" s="1497"/>
      <c r="C90" s="1504"/>
      <c r="D90" s="71"/>
      <c r="E90" s="1551"/>
      <c r="F90" s="1553"/>
      <c r="G90" s="1731"/>
      <c r="H90" s="91" t="s">
        <v>47</v>
      </c>
      <c r="I90" s="107">
        <f>I87+I89+I88</f>
        <v>2941.2</v>
      </c>
      <c r="J90" s="107">
        <f t="shared" ref="J90:L90" si="8">J87+J89</f>
        <v>3337.6</v>
      </c>
      <c r="K90" s="107">
        <f t="shared" ref="K90" si="9">K87+K89</f>
        <v>1478</v>
      </c>
      <c r="L90" s="107">
        <f t="shared" si="8"/>
        <v>1739</v>
      </c>
      <c r="M90" s="1120"/>
      <c r="N90" s="399"/>
      <c r="O90" s="849"/>
      <c r="P90" s="878"/>
      <c r="Q90" s="852"/>
    </row>
    <row r="91" spans="1:20" s="4" customFormat="1" ht="21" customHeight="1">
      <c r="A91" s="1494" t="s">
        <v>13</v>
      </c>
      <c r="B91" s="1496" t="s">
        <v>13</v>
      </c>
      <c r="C91" s="1483" t="s">
        <v>36</v>
      </c>
      <c r="D91" s="77"/>
      <c r="E91" s="1550" t="s">
        <v>55</v>
      </c>
      <c r="F91" s="1552"/>
      <c r="G91" s="1705" t="s">
        <v>289</v>
      </c>
      <c r="H91" s="92" t="s">
        <v>19</v>
      </c>
      <c r="I91" s="112">
        <v>29</v>
      </c>
      <c r="J91" s="112">
        <v>29</v>
      </c>
      <c r="K91" s="112">
        <v>29</v>
      </c>
      <c r="L91" s="112">
        <v>29</v>
      </c>
      <c r="M91" s="29"/>
      <c r="N91" s="397"/>
      <c r="O91" s="847"/>
      <c r="P91" s="876"/>
      <c r="Q91" s="850"/>
    </row>
    <row r="92" spans="1:20" s="4" customFormat="1" ht="18.75" customHeight="1" thickBot="1">
      <c r="A92" s="1495"/>
      <c r="B92" s="1497"/>
      <c r="C92" s="1549"/>
      <c r="D92" s="71"/>
      <c r="E92" s="1551"/>
      <c r="F92" s="1553"/>
      <c r="G92" s="1738"/>
      <c r="H92" s="88" t="s">
        <v>47</v>
      </c>
      <c r="I92" s="107">
        <f t="shared" ref="I92:L92" si="10">I91</f>
        <v>29</v>
      </c>
      <c r="J92" s="107">
        <f t="shared" si="10"/>
        <v>29</v>
      </c>
      <c r="K92" s="107">
        <f t="shared" ref="K92" si="11">K91</f>
        <v>29</v>
      </c>
      <c r="L92" s="107">
        <f t="shared" si="10"/>
        <v>29</v>
      </c>
      <c r="M92" s="113"/>
      <c r="N92" s="399"/>
      <c r="O92" s="849"/>
      <c r="P92" s="878"/>
      <c r="Q92" s="852"/>
    </row>
    <row r="93" spans="1:20" s="1" customFormat="1" ht="56.25" customHeight="1">
      <c r="A93" s="30" t="s">
        <v>13</v>
      </c>
      <c r="B93" s="31" t="s">
        <v>13</v>
      </c>
      <c r="C93" s="332" t="s">
        <v>39</v>
      </c>
      <c r="D93" s="328"/>
      <c r="E93" s="831" t="s">
        <v>56</v>
      </c>
      <c r="F93" s="32"/>
      <c r="G93" s="345"/>
      <c r="H93" s="679"/>
      <c r="I93" s="681"/>
      <c r="J93" s="108"/>
      <c r="K93" s="108"/>
      <c r="L93" s="108"/>
      <c r="M93" s="81"/>
      <c r="N93" s="177"/>
      <c r="O93" s="296"/>
      <c r="P93" s="810"/>
      <c r="Q93" s="299"/>
    </row>
    <row r="94" spans="1:20" s="1" customFormat="1" ht="15.75" customHeight="1">
      <c r="A94" s="13"/>
      <c r="B94" s="14"/>
      <c r="C94" s="322"/>
      <c r="D94" s="466" t="s">
        <v>13</v>
      </c>
      <c r="E94" s="1513" t="s">
        <v>57</v>
      </c>
      <c r="F94" s="34"/>
      <c r="G94" s="1744" t="s">
        <v>288</v>
      </c>
      <c r="H94" s="25" t="s">
        <v>19</v>
      </c>
      <c r="I94" s="98">
        <v>26</v>
      </c>
      <c r="J94" s="109">
        <v>11</v>
      </c>
      <c r="K94" s="109">
        <v>46</v>
      </c>
      <c r="L94" s="109">
        <v>30</v>
      </c>
      <c r="M94" s="1515" t="s">
        <v>101</v>
      </c>
      <c r="N94" s="965">
        <v>67</v>
      </c>
      <c r="O94" s="176">
        <v>67</v>
      </c>
      <c r="P94" s="164">
        <v>50</v>
      </c>
      <c r="Q94" s="192">
        <v>50</v>
      </c>
    </row>
    <row r="95" spans="1:20" s="1" customFormat="1" ht="15.75" customHeight="1">
      <c r="A95" s="13"/>
      <c r="B95" s="14"/>
      <c r="C95" s="322"/>
      <c r="D95" s="1135"/>
      <c r="E95" s="1557"/>
      <c r="F95" s="34"/>
      <c r="G95" s="1745"/>
      <c r="H95" s="19" t="s">
        <v>110</v>
      </c>
      <c r="I95" s="99"/>
      <c r="J95" s="83">
        <v>15</v>
      </c>
      <c r="K95" s="83"/>
      <c r="L95" s="83"/>
      <c r="M95" s="1519"/>
      <c r="N95" s="967"/>
      <c r="O95" s="1141"/>
      <c r="P95" s="1141"/>
      <c r="Q95" s="1137"/>
    </row>
    <row r="96" spans="1:20" s="1" customFormat="1" ht="15.75" customHeight="1">
      <c r="A96" s="13"/>
      <c r="B96" s="14"/>
      <c r="C96" s="322"/>
      <c r="D96" s="884"/>
      <c r="E96" s="1556"/>
      <c r="F96" s="34"/>
      <c r="G96" s="1706"/>
      <c r="H96" s="22" t="s">
        <v>199</v>
      </c>
      <c r="I96" s="103">
        <v>20</v>
      </c>
      <c r="J96" s="110">
        <v>20</v>
      </c>
      <c r="K96" s="110"/>
      <c r="L96" s="110"/>
      <c r="M96" s="1743"/>
      <c r="N96" s="966"/>
      <c r="O96" s="162"/>
      <c r="P96" s="162"/>
      <c r="Q96" s="193"/>
    </row>
    <row r="97" spans="1:18" s="1" customFormat="1" ht="14.25" customHeight="1">
      <c r="A97" s="13"/>
      <c r="B97" s="14"/>
      <c r="C97" s="322"/>
      <c r="D97" s="77" t="s">
        <v>21</v>
      </c>
      <c r="E97" s="1517" t="s">
        <v>58</v>
      </c>
      <c r="F97" s="34"/>
      <c r="G97" s="495"/>
      <c r="H97" s="465" t="s">
        <v>23</v>
      </c>
      <c r="I97" s="99">
        <v>27</v>
      </c>
      <c r="J97" s="83">
        <v>32</v>
      </c>
      <c r="K97" s="83">
        <v>25</v>
      </c>
      <c r="L97" s="83">
        <v>25</v>
      </c>
      <c r="M97" s="1519" t="s">
        <v>116</v>
      </c>
      <c r="N97" s="967">
        <v>18</v>
      </c>
      <c r="O97" s="1084">
        <v>18</v>
      </c>
      <c r="P97" s="1084">
        <v>18</v>
      </c>
      <c r="Q97" s="851">
        <v>18</v>
      </c>
    </row>
    <row r="98" spans="1:18" s="1" customFormat="1" ht="16.5" customHeight="1">
      <c r="A98" s="13"/>
      <c r="B98" s="14"/>
      <c r="C98" s="322"/>
      <c r="D98" s="77"/>
      <c r="E98" s="1518"/>
      <c r="F98" s="34"/>
      <c r="G98" s="495"/>
      <c r="H98" s="22" t="s">
        <v>19</v>
      </c>
      <c r="I98" s="103"/>
      <c r="J98" s="110"/>
      <c r="K98" s="110"/>
      <c r="L98" s="110"/>
      <c r="M98" s="1520"/>
      <c r="N98" s="966"/>
      <c r="O98" s="162"/>
      <c r="P98" s="162"/>
      <c r="Q98" s="193"/>
    </row>
    <row r="99" spans="1:18" s="1" customFormat="1" ht="15.75" customHeight="1">
      <c r="A99" s="13"/>
      <c r="B99" s="14"/>
      <c r="C99" s="322"/>
      <c r="D99" s="883" t="s">
        <v>25</v>
      </c>
      <c r="E99" s="1469" t="s">
        <v>59</v>
      </c>
      <c r="F99" s="34"/>
      <c r="G99" s="130"/>
      <c r="H99" s="19" t="s">
        <v>23</v>
      </c>
      <c r="I99" s="99">
        <v>68</v>
      </c>
      <c r="J99" s="83">
        <v>41.2</v>
      </c>
      <c r="K99" s="83">
        <v>60</v>
      </c>
      <c r="L99" s="83">
        <v>60</v>
      </c>
      <c r="M99" s="1081" t="s">
        <v>117</v>
      </c>
      <c r="N99" s="968">
        <v>11</v>
      </c>
      <c r="O99" s="165"/>
      <c r="P99" s="165">
        <v>4</v>
      </c>
      <c r="Q99" s="188">
        <v>4</v>
      </c>
    </row>
    <row r="100" spans="1:18" s="1" customFormat="1" ht="15.75" customHeight="1">
      <c r="A100" s="13"/>
      <c r="B100" s="14"/>
      <c r="C100" s="322"/>
      <c r="D100" s="1135"/>
      <c r="E100" s="1470"/>
      <c r="F100" s="34"/>
      <c r="G100" s="130"/>
      <c r="H100" s="465" t="s">
        <v>24</v>
      </c>
      <c r="I100" s="99"/>
      <c r="J100" s="83">
        <v>48.5</v>
      </c>
      <c r="K100" s="83"/>
      <c r="L100" s="83"/>
      <c r="M100" s="1136"/>
      <c r="N100" s="482"/>
      <c r="O100" s="301"/>
      <c r="P100" s="301"/>
      <c r="Q100" s="302"/>
    </row>
    <row r="101" spans="1:18" s="1" customFormat="1" ht="28.5" customHeight="1">
      <c r="A101" s="13"/>
      <c r="B101" s="14"/>
      <c r="C101" s="322"/>
      <c r="D101" s="1061"/>
      <c r="E101" s="1470"/>
      <c r="F101" s="34"/>
      <c r="G101" s="130"/>
      <c r="H101" s="465"/>
      <c r="I101" s="99"/>
      <c r="J101" s="83"/>
      <c r="K101" s="99"/>
      <c r="L101" s="99"/>
      <c r="M101" s="135" t="s">
        <v>254</v>
      </c>
      <c r="N101" s="175"/>
      <c r="O101" s="794">
        <v>100</v>
      </c>
      <c r="P101" s="483"/>
      <c r="Q101" s="918"/>
      <c r="R101" s="241"/>
    </row>
    <row r="102" spans="1:18" s="1" customFormat="1" ht="28.5" customHeight="1">
      <c r="A102" s="13"/>
      <c r="B102" s="14"/>
      <c r="C102" s="322"/>
      <c r="D102" s="1061"/>
      <c r="E102" s="1470"/>
      <c r="F102" s="34"/>
      <c r="G102" s="130"/>
      <c r="H102" s="49"/>
      <c r="I102" s="99"/>
      <c r="J102" s="242"/>
      <c r="K102" s="99"/>
      <c r="L102" s="99"/>
      <c r="M102" s="1080" t="s">
        <v>249</v>
      </c>
      <c r="N102" s="172"/>
      <c r="O102" s="172">
        <v>100</v>
      </c>
      <c r="P102" s="337"/>
      <c r="Q102" s="346"/>
    </row>
    <row r="103" spans="1:18" s="1" customFormat="1" ht="28.5" customHeight="1">
      <c r="A103" s="13"/>
      <c r="B103" s="14"/>
      <c r="C103" s="322"/>
      <c r="D103" s="1061"/>
      <c r="E103" s="1470"/>
      <c r="F103" s="34"/>
      <c r="G103" s="130"/>
      <c r="H103" s="49"/>
      <c r="I103" s="99"/>
      <c r="J103" s="242"/>
      <c r="K103" s="99"/>
      <c r="L103" s="99"/>
      <c r="M103" s="135" t="s">
        <v>250</v>
      </c>
      <c r="N103" s="175"/>
      <c r="O103" s="175">
        <v>100</v>
      </c>
      <c r="P103" s="483"/>
      <c r="Q103" s="918"/>
    </row>
    <row r="104" spans="1:18" s="1" customFormat="1" ht="28.5" customHeight="1">
      <c r="A104" s="13"/>
      <c r="B104" s="14"/>
      <c r="C104" s="322"/>
      <c r="D104" s="1061"/>
      <c r="E104" s="1470"/>
      <c r="F104" s="34"/>
      <c r="G104" s="130"/>
      <c r="H104" s="49"/>
      <c r="I104" s="99"/>
      <c r="J104" s="83"/>
      <c r="K104" s="99"/>
      <c r="L104" s="99"/>
      <c r="M104" s="135" t="s">
        <v>251</v>
      </c>
      <c r="N104" s="175"/>
      <c r="O104" s="175">
        <v>100</v>
      </c>
      <c r="P104" s="483"/>
      <c r="Q104" s="918"/>
    </row>
    <row r="105" spans="1:18" s="1" customFormat="1" ht="28.5" customHeight="1">
      <c r="A105" s="13"/>
      <c r="B105" s="14"/>
      <c r="C105" s="322"/>
      <c r="D105" s="1061"/>
      <c r="E105" s="1470"/>
      <c r="F105" s="34"/>
      <c r="G105" s="130"/>
      <c r="H105" s="49"/>
      <c r="I105" s="99"/>
      <c r="J105" s="99"/>
      <c r="K105" s="99"/>
      <c r="L105" s="99"/>
      <c r="M105" s="135" t="s">
        <v>252</v>
      </c>
      <c r="N105" s="175"/>
      <c r="O105" s="175">
        <v>100</v>
      </c>
      <c r="P105" s="483"/>
      <c r="Q105" s="918"/>
    </row>
    <row r="106" spans="1:18" s="1" customFormat="1" ht="28.5" customHeight="1">
      <c r="A106" s="13"/>
      <c r="B106" s="14"/>
      <c r="C106" s="322"/>
      <c r="D106" s="1061"/>
      <c r="E106" s="1470"/>
      <c r="F106" s="34"/>
      <c r="G106" s="130"/>
      <c r="H106" s="49"/>
      <c r="I106" s="99"/>
      <c r="J106" s="242"/>
      <c r="K106" s="99"/>
      <c r="L106" s="99"/>
      <c r="M106" s="135" t="s">
        <v>253</v>
      </c>
      <c r="N106" s="175"/>
      <c r="O106" s="175">
        <v>100</v>
      </c>
      <c r="P106" s="483"/>
      <c r="Q106" s="918"/>
    </row>
    <row r="107" spans="1:18" s="1" customFormat="1" ht="28.5" customHeight="1">
      <c r="A107" s="13"/>
      <c r="B107" s="14"/>
      <c r="C107" s="322"/>
      <c r="D107" s="1061"/>
      <c r="E107" s="1470"/>
      <c r="F107" s="34"/>
      <c r="G107" s="130"/>
      <c r="H107" s="347"/>
      <c r="I107" s="103"/>
      <c r="J107" s="110"/>
      <c r="K107" s="103"/>
      <c r="L107" s="103"/>
      <c r="M107" s="1091" t="s">
        <v>271</v>
      </c>
      <c r="N107" s="1092"/>
      <c r="O107" s="1092">
        <v>100</v>
      </c>
      <c r="P107" s="973"/>
      <c r="Q107" s="974"/>
    </row>
    <row r="108" spans="1:18" s="1" customFormat="1" ht="24" customHeight="1">
      <c r="A108" s="13"/>
      <c r="B108" s="36"/>
      <c r="C108" s="333"/>
      <c r="D108" s="879" t="s">
        <v>27</v>
      </c>
      <c r="E108" s="1513" t="s">
        <v>115</v>
      </c>
      <c r="F108" s="20"/>
      <c r="G108" s="1703" t="s">
        <v>288</v>
      </c>
      <c r="H108" s="25" t="s">
        <v>23</v>
      </c>
      <c r="I108" s="98">
        <v>4.5</v>
      </c>
      <c r="J108" s="109">
        <v>3.5</v>
      </c>
      <c r="K108" s="109">
        <v>4.5</v>
      </c>
      <c r="L108" s="109">
        <v>4.5</v>
      </c>
      <c r="M108" s="1082" t="s">
        <v>90</v>
      </c>
      <c r="N108" s="965">
        <v>2</v>
      </c>
      <c r="O108" s="164">
        <v>2</v>
      </c>
      <c r="P108" s="164">
        <v>2</v>
      </c>
      <c r="Q108" s="192">
        <v>2</v>
      </c>
    </row>
    <row r="109" spans="1:18" s="1" customFormat="1" ht="26.25" customHeight="1">
      <c r="A109" s="13"/>
      <c r="B109" s="36"/>
      <c r="C109" s="333"/>
      <c r="D109" s="880"/>
      <c r="E109" s="1545"/>
      <c r="F109" s="20"/>
      <c r="G109" s="1748"/>
      <c r="H109" s="22" t="s">
        <v>24</v>
      </c>
      <c r="I109" s="103"/>
      <c r="J109" s="84">
        <v>1</v>
      </c>
      <c r="K109" s="84"/>
      <c r="L109" s="84"/>
      <c r="M109" s="253"/>
      <c r="N109" s="966"/>
      <c r="O109" s="162"/>
      <c r="P109" s="162"/>
      <c r="Q109" s="193"/>
      <c r="R109" s="241"/>
    </row>
    <row r="110" spans="1:18" s="1" customFormat="1" ht="19.5" customHeight="1">
      <c r="A110" s="13"/>
      <c r="B110" s="14"/>
      <c r="C110" s="322"/>
      <c r="D110" s="319" t="s">
        <v>29</v>
      </c>
      <c r="E110" s="1513" t="s">
        <v>175</v>
      </c>
      <c r="F110" s="34"/>
      <c r="G110" s="1744" t="s">
        <v>294</v>
      </c>
      <c r="H110" s="25" t="s">
        <v>19</v>
      </c>
      <c r="I110" s="98">
        <v>4</v>
      </c>
      <c r="J110" s="227">
        <v>1</v>
      </c>
      <c r="K110" s="227">
        <v>2</v>
      </c>
      <c r="L110" s="227">
        <v>2</v>
      </c>
      <c r="M110" s="1138" t="s">
        <v>118</v>
      </c>
      <c r="N110" s="164">
        <v>10</v>
      </c>
      <c r="O110" s="164">
        <v>10</v>
      </c>
      <c r="P110" s="164">
        <v>10</v>
      </c>
      <c r="Q110" s="192">
        <v>10</v>
      </c>
    </row>
    <row r="111" spans="1:18" s="1" customFormat="1" ht="32.25" customHeight="1">
      <c r="A111" s="13"/>
      <c r="B111" s="36"/>
      <c r="C111" s="333"/>
      <c r="D111" s="330"/>
      <c r="E111" s="1640"/>
      <c r="F111" s="373"/>
      <c r="G111" s="1745"/>
      <c r="H111" s="22" t="s">
        <v>110</v>
      </c>
      <c r="I111" s="103"/>
      <c r="J111" s="84">
        <v>4</v>
      </c>
      <c r="K111" s="84"/>
      <c r="L111" s="84"/>
      <c r="M111" s="263"/>
      <c r="N111" s="162"/>
      <c r="O111" s="162"/>
      <c r="P111" s="162"/>
      <c r="Q111" s="193"/>
    </row>
    <row r="112" spans="1:18" s="1" customFormat="1" ht="54" customHeight="1">
      <c r="A112" s="13"/>
      <c r="B112" s="36"/>
      <c r="C112" s="333"/>
      <c r="D112" s="329" t="s">
        <v>32</v>
      </c>
      <c r="E112" s="371" t="s">
        <v>123</v>
      </c>
      <c r="F112" s="373"/>
      <c r="G112" s="495"/>
      <c r="H112" s="22" t="s">
        <v>19</v>
      </c>
      <c r="I112" s="103">
        <v>7.6</v>
      </c>
      <c r="J112" s="84">
        <v>7.6</v>
      </c>
      <c r="K112" s="84">
        <v>7.6</v>
      </c>
      <c r="L112" s="84">
        <v>7.6</v>
      </c>
      <c r="M112" s="263" t="s">
        <v>121</v>
      </c>
      <c r="N112" s="167">
        <v>116</v>
      </c>
      <c r="O112" s="163">
        <v>116</v>
      </c>
      <c r="P112" s="163">
        <v>116</v>
      </c>
      <c r="Q112" s="187">
        <v>116</v>
      </c>
    </row>
    <row r="113" spans="1:19" s="1" customFormat="1" ht="25.5" customHeight="1">
      <c r="A113" s="13"/>
      <c r="B113" s="14"/>
      <c r="C113" s="333"/>
      <c r="D113" s="1483" t="s">
        <v>35</v>
      </c>
      <c r="E113" s="1546" t="s">
        <v>60</v>
      </c>
      <c r="F113" s="34"/>
      <c r="G113" s="495"/>
      <c r="H113" s="25" t="s">
        <v>19</v>
      </c>
      <c r="I113" s="218">
        <v>1.7</v>
      </c>
      <c r="J113" s="218">
        <v>1.7</v>
      </c>
      <c r="K113" s="218">
        <v>1.5</v>
      </c>
      <c r="L113" s="218">
        <v>1.5</v>
      </c>
      <c r="M113" s="843" t="s">
        <v>61</v>
      </c>
      <c r="N113" s="301">
        <v>19</v>
      </c>
      <c r="O113" s="301">
        <v>30</v>
      </c>
      <c r="P113" s="301">
        <v>30</v>
      </c>
      <c r="Q113" s="302">
        <v>30</v>
      </c>
    </row>
    <row r="114" spans="1:19" s="1" customFormat="1" ht="19.5" customHeight="1">
      <c r="A114" s="13"/>
      <c r="B114" s="14"/>
      <c r="C114" s="333"/>
      <c r="D114" s="1749"/>
      <c r="E114" s="1547"/>
      <c r="F114" s="34"/>
      <c r="G114" s="495"/>
      <c r="H114" s="22" t="s">
        <v>19</v>
      </c>
      <c r="I114" s="223"/>
      <c r="J114" s="268"/>
      <c r="K114" s="268"/>
      <c r="L114" s="268"/>
      <c r="M114" s="478"/>
      <c r="N114" s="166"/>
      <c r="O114" s="166"/>
      <c r="P114" s="166"/>
      <c r="Q114" s="191"/>
    </row>
    <row r="115" spans="1:19" s="1" customFormat="1" ht="42" customHeight="1">
      <c r="A115" s="13"/>
      <c r="B115" s="36"/>
      <c r="C115" s="333"/>
      <c r="D115" s="330" t="s">
        <v>36</v>
      </c>
      <c r="E115" s="371" t="s">
        <v>62</v>
      </c>
      <c r="F115" s="373"/>
      <c r="G115" s="495"/>
      <c r="H115" s="22" t="s">
        <v>19</v>
      </c>
      <c r="I115" s="103">
        <v>2</v>
      </c>
      <c r="J115" s="84">
        <v>2</v>
      </c>
      <c r="K115" s="84">
        <v>2</v>
      </c>
      <c r="L115" s="84">
        <v>2</v>
      </c>
      <c r="M115" s="263" t="s">
        <v>63</v>
      </c>
      <c r="N115" s="163">
        <v>80</v>
      </c>
      <c r="O115" s="163">
        <v>80</v>
      </c>
      <c r="P115" s="163">
        <v>80</v>
      </c>
      <c r="Q115" s="187">
        <v>80</v>
      </c>
    </row>
    <row r="116" spans="1:19" s="1" customFormat="1" ht="15" customHeight="1">
      <c r="A116" s="13"/>
      <c r="B116" s="36"/>
      <c r="C116" s="333"/>
      <c r="D116" s="356" t="s">
        <v>39</v>
      </c>
      <c r="E116" s="1513" t="s">
        <v>64</v>
      </c>
      <c r="F116" s="34"/>
      <c r="G116" s="130"/>
      <c r="H116" s="25" t="s">
        <v>19</v>
      </c>
      <c r="I116" s="98">
        <v>5</v>
      </c>
      <c r="J116" s="227">
        <v>6.5</v>
      </c>
      <c r="K116" s="98">
        <v>5</v>
      </c>
      <c r="L116" s="98">
        <v>5</v>
      </c>
      <c r="M116" s="1515" t="s">
        <v>176</v>
      </c>
      <c r="N116" s="164">
        <v>1</v>
      </c>
      <c r="O116" s="164">
        <v>1</v>
      </c>
      <c r="P116" s="164">
        <v>1</v>
      </c>
      <c r="Q116" s="192">
        <v>1</v>
      </c>
    </row>
    <row r="117" spans="1:19" s="1" customFormat="1" ht="16.5" customHeight="1">
      <c r="A117" s="13"/>
      <c r="B117" s="36"/>
      <c r="C117" s="334"/>
      <c r="D117" s="331"/>
      <c r="E117" s="1640"/>
      <c r="F117" s="34"/>
      <c r="G117" s="130"/>
      <c r="H117" s="22" t="s">
        <v>110</v>
      </c>
      <c r="I117" s="103"/>
      <c r="J117" s="84">
        <v>3.5</v>
      </c>
      <c r="K117" s="103"/>
      <c r="L117" s="103"/>
      <c r="M117" s="1520"/>
      <c r="N117" s="998"/>
      <c r="O117" s="998"/>
      <c r="P117" s="998"/>
      <c r="Q117" s="997"/>
    </row>
    <row r="118" spans="1:19" s="1" customFormat="1" ht="17.25" customHeight="1">
      <c r="A118" s="13"/>
      <c r="B118" s="36"/>
      <c r="C118" s="334"/>
      <c r="D118" s="879" t="s">
        <v>42</v>
      </c>
      <c r="E118" s="1436" t="s">
        <v>65</v>
      </c>
      <c r="F118" s="373"/>
      <c r="G118" s="1746" t="s">
        <v>288</v>
      </c>
      <c r="H118" s="465" t="s">
        <v>23</v>
      </c>
      <c r="I118" s="99">
        <v>47.2</v>
      </c>
      <c r="J118" s="83">
        <v>10</v>
      </c>
      <c r="K118" s="99"/>
      <c r="L118" s="99"/>
      <c r="M118" s="1636" t="s">
        <v>151</v>
      </c>
      <c r="N118" s="176">
        <v>100</v>
      </c>
      <c r="O118" s="1071">
        <v>100</v>
      </c>
      <c r="P118" s="297"/>
      <c r="Q118" s="229"/>
    </row>
    <row r="119" spans="1:19" s="1" customFormat="1" ht="14.25" customHeight="1">
      <c r="A119" s="13"/>
      <c r="B119" s="36"/>
      <c r="C119" s="334"/>
      <c r="D119" s="929"/>
      <c r="E119" s="1438"/>
      <c r="F119" s="373"/>
      <c r="G119" s="1747"/>
      <c r="H119" s="465" t="s">
        <v>24</v>
      </c>
      <c r="I119" s="963">
        <f>60.8+17.9</f>
        <v>78.699999999999989</v>
      </c>
      <c r="J119" s="83">
        <v>50</v>
      </c>
      <c r="K119" s="99"/>
      <c r="L119" s="99"/>
      <c r="M119" s="1548"/>
      <c r="N119" s="962"/>
      <c r="O119" s="337"/>
      <c r="P119" s="337"/>
      <c r="Q119" s="346"/>
    </row>
    <row r="120" spans="1:19" s="1" customFormat="1" ht="30.75" customHeight="1">
      <c r="A120" s="13"/>
      <c r="B120" s="36"/>
      <c r="C120" s="334"/>
      <c r="D120" s="1148"/>
      <c r="E120" s="1438"/>
      <c r="F120" s="373"/>
      <c r="G120" s="1747"/>
      <c r="H120" s="465" t="s">
        <v>23</v>
      </c>
      <c r="I120" s="99"/>
      <c r="J120" s="83">
        <v>20</v>
      </c>
      <c r="K120" s="99"/>
      <c r="L120" s="99"/>
      <c r="M120" s="135" t="s">
        <v>150</v>
      </c>
      <c r="N120" s="175">
        <v>100</v>
      </c>
      <c r="O120" s="1067">
        <v>100</v>
      </c>
      <c r="P120" s="483"/>
      <c r="Q120" s="918"/>
      <c r="S120" s="241"/>
    </row>
    <row r="121" spans="1:19" s="1" customFormat="1" ht="28.5" customHeight="1">
      <c r="A121" s="13"/>
      <c r="B121" s="36"/>
      <c r="C121" s="334"/>
      <c r="D121" s="929"/>
      <c r="E121" s="1438"/>
      <c r="F121" s="373"/>
      <c r="G121" s="1747"/>
      <c r="H121" s="465"/>
      <c r="I121" s="963"/>
      <c r="J121" s="83"/>
      <c r="K121" s="99"/>
      <c r="L121" s="99"/>
      <c r="M121" s="1064" t="s">
        <v>180</v>
      </c>
      <c r="N121" s="970">
        <v>100</v>
      </c>
      <c r="O121" s="178"/>
      <c r="P121" s="178"/>
      <c r="Q121" s="358"/>
    </row>
    <row r="122" spans="1:19" s="1" customFormat="1" ht="30" customHeight="1">
      <c r="A122" s="13"/>
      <c r="B122" s="36"/>
      <c r="C122" s="334"/>
      <c r="D122" s="929"/>
      <c r="E122" s="958"/>
      <c r="F122" s="373"/>
      <c r="G122" s="939"/>
      <c r="H122" s="110"/>
      <c r="I122" s="103"/>
      <c r="J122" s="110"/>
      <c r="K122" s="103"/>
      <c r="L122" s="103"/>
      <c r="M122" s="1068" t="s">
        <v>179</v>
      </c>
      <c r="N122" s="1069">
        <v>100</v>
      </c>
      <c r="O122" s="1070"/>
      <c r="P122" s="298"/>
      <c r="Q122" s="194"/>
      <c r="S122" s="241"/>
    </row>
    <row r="123" spans="1:19" s="1" customFormat="1" ht="15" customHeight="1">
      <c r="A123" s="13"/>
      <c r="B123" s="36"/>
      <c r="C123" s="334"/>
      <c r="D123" s="839"/>
      <c r="E123" s="870"/>
      <c r="F123" s="373"/>
      <c r="G123" s="1700" t="s">
        <v>287</v>
      </c>
      <c r="H123" s="83" t="s">
        <v>110</v>
      </c>
      <c r="I123" s="99">
        <v>74.2</v>
      </c>
      <c r="J123" s="99">
        <v>74.2</v>
      </c>
      <c r="K123" s="99"/>
      <c r="L123" s="99"/>
      <c r="M123" s="1459" t="s">
        <v>148</v>
      </c>
      <c r="N123" s="970">
        <v>100</v>
      </c>
      <c r="O123" s="178">
        <v>100</v>
      </c>
      <c r="P123" s="178"/>
      <c r="Q123" s="358"/>
      <c r="R123" s="1662"/>
    </row>
    <row r="124" spans="1:19" s="1" customFormat="1" ht="24" customHeight="1">
      <c r="A124" s="13"/>
      <c r="B124" s="36"/>
      <c r="C124" s="334"/>
      <c r="D124" s="839"/>
      <c r="E124" s="870"/>
      <c r="F124" s="373"/>
      <c r="G124" s="1700"/>
      <c r="H124" s="83" t="s">
        <v>24</v>
      </c>
      <c r="I124" s="99">
        <v>79.8</v>
      </c>
      <c r="J124" s="99">
        <f>79.8-37+1.3</f>
        <v>44.099999999999994</v>
      </c>
      <c r="K124" s="99"/>
      <c r="L124" s="99"/>
      <c r="M124" s="1512"/>
      <c r="N124" s="962"/>
      <c r="O124" s="337"/>
      <c r="P124" s="337"/>
      <c r="Q124" s="346"/>
      <c r="R124" s="1662"/>
    </row>
    <row r="125" spans="1:19" s="1" customFormat="1" ht="29.25" customHeight="1">
      <c r="A125" s="13"/>
      <c r="B125" s="36"/>
      <c r="C125" s="334"/>
      <c r="D125" s="366"/>
      <c r="E125" s="829"/>
      <c r="F125" s="34"/>
      <c r="G125" s="1701"/>
      <c r="H125" s="802" t="s">
        <v>19</v>
      </c>
      <c r="I125" s="103"/>
      <c r="J125" s="103"/>
      <c r="K125" s="103">
        <v>40</v>
      </c>
      <c r="L125" s="103"/>
      <c r="M125" s="881" t="s">
        <v>139</v>
      </c>
      <c r="N125" s="971">
        <v>100</v>
      </c>
      <c r="O125" s="298"/>
      <c r="P125" s="298">
        <v>100</v>
      </c>
      <c r="Q125" s="194"/>
      <c r="R125" s="1663"/>
    </row>
    <row r="126" spans="1:19" s="1" customFormat="1" ht="25.5" customHeight="1">
      <c r="A126" s="13"/>
      <c r="B126" s="14"/>
      <c r="C126" s="333"/>
      <c r="D126" s="1707" t="s">
        <v>44</v>
      </c>
      <c r="E126" s="1522" t="s">
        <v>177</v>
      </c>
      <c r="F126" s="34"/>
      <c r="G126" s="1703" t="s">
        <v>288</v>
      </c>
      <c r="H126" s="225" t="s">
        <v>19</v>
      </c>
      <c r="I126" s="218"/>
      <c r="J126" s="303"/>
      <c r="K126" s="1089"/>
      <c r="L126" s="1089">
        <v>653</v>
      </c>
      <c r="M126" s="1082" t="s">
        <v>278</v>
      </c>
      <c r="N126" s="165"/>
      <c r="O126" s="165"/>
      <c r="P126" s="165"/>
      <c r="Q126" s="188">
        <v>25</v>
      </c>
      <c r="R126" s="1663"/>
    </row>
    <row r="127" spans="1:19" s="1" customFormat="1" ht="15.75" customHeight="1">
      <c r="A127" s="13"/>
      <c r="B127" s="14"/>
      <c r="C127" s="333"/>
      <c r="D127" s="1483"/>
      <c r="E127" s="1513"/>
      <c r="F127" s="1129"/>
      <c r="G127" s="1708"/>
      <c r="H127" s="184"/>
      <c r="I127" s="223"/>
      <c r="J127" s="268"/>
      <c r="K127" s="1090"/>
      <c r="L127" s="1090"/>
      <c r="M127" s="481"/>
      <c r="N127" s="482"/>
      <c r="O127" s="482"/>
      <c r="P127" s="301"/>
      <c r="Q127" s="302"/>
    </row>
    <row r="128" spans="1:19" s="1" customFormat="1" ht="16.5" customHeight="1">
      <c r="A128" s="13"/>
      <c r="B128" s="14"/>
      <c r="C128" s="333"/>
      <c r="D128" s="1739" t="s">
        <v>279</v>
      </c>
      <c r="E128" s="1741" t="s">
        <v>280</v>
      </c>
      <c r="F128" s="1131" t="s">
        <v>267</v>
      </c>
      <c r="G128" s="1726"/>
      <c r="H128" s="225" t="s">
        <v>19</v>
      </c>
      <c r="I128" s="218"/>
      <c r="J128" s="303"/>
      <c r="K128" s="1089"/>
      <c r="L128" s="1089"/>
      <c r="M128" s="1127" t="s">
        <v>308</v>
      </c>
      <c r="N128" s="165"/>
      <c r="O128" s="165">
        <v>1</v>
      </c>
      <c r="P128" s="165"/>
      <c r="Q128" s="188"/>
    </row>
    <row r="129" spans="1:18" s="1" customFormat="1" ht="24.75" customHeight="1">
      <c r="A129" s="13"/>
      <c r="B129" s="14"/>
      <c r="C129" s="333"/>
      <c r="D129" s="1740"/>
      <c r="E129" s="1741"/>
      <c r="F129" s="1130"/>
      <c r="G129" s="1742"/>
      <c r="H129" s="184"/>
      <c r="I129" s="223"/>
      <c r="J129" s="268"/>
      <c r="K129" s="1090"/>
      <c r="L129" s="1090"/>
      <c r="M129" s="481" t="s">
        <v>281</v>
      </c>
      <c r="N129" s="482"/>
      <c r="O129" s="482"/>
      <c r="P129" s="301"/>
      <c r="Q129" s="302"/>
    </row>
    <row r="130" spans="1:18" s="1" customFormat="1" ht="16.5" customHeight="1">
      <c r="A130" s="13"/>
      <c r="B130" s="14"/>
      <c r="C130" s="333"/>
      <c r="D130" s="1483"/>
      <c r="E130" s="1778" t="s">
        <v>142</v>
      </c>
      <c r="F130" s="975"/>
      <c r="G130" s="1709" t="s">
        <v>288</v>
      </c>
      <c r="H130" s="976"/>
      <c r="I130" s="977"/>
      <c r="J130" s="977"/>
      <c r="K130" s="977"/>
      <c r="L130" s="977"/>
      <c r="M130" s="978" t="s">
        <v>126</v>
      </c>
      <c r="N130" s="968"/>
      <c r="O130" s="968"/>
      <c r="P130" s="165"/>
      <c r="Q130" s="188"/>
    </row>
    <row r="131" spans="1:18" s="1" customFormat="1" ht="18.75" customHeight="1">
      <c r="A131" s="13"/>
      <c r="B131" s="14"/>
      <c r="C131" s="333"/>
      <c r="D131" s="1749"/>
      <c r="E131" s="1779"/>
      <c r="F131" s="975"/>
      <c r="G131" s="1710"/>
      <c r="H131" s="979" t="s">
        <v>110</v>
      </c>
      <c r="I131" s="980"/>
      <c r="J131" s="981"/>
      <c r="K131" s="981"/>
      <c r="L131" s="981"/>
      <c r="M131" s="481"/>
      <c r="N131" s="482"/>
      <c r="O131" s="482"/>
      <c r="P131" s="301"/>
      <c r="Q131" s="191"/>
      <c r="R131" s="241"/>
    </row>
    <row r="132" spans="1:18" s="1" customFormat="1" ht="15.75" customHeight="1" thickBot="1">
      <c r="A132" s="836"/>
      <c r="B132" s="292"/>
      <c r="C132" s="327"/>
      <c r="D132" s="311"/>
      <c r="E132" s="309"/>
      <c r="F132" s="310"/>
      <c r="G132" s="200"/>
      <c r="H132" s="821" t="s">
        <v>47</v>
      </c>
      <c r="I132" s="107">
        <f>SUM(I94:I131)</f>
        <v>445.7</v>
      </c>
      <c r="J132" s="107">
        <f>SUM(J94:J131)</f>
        <v>396.79999999999995</v>
      </c>
      <c r="K132" s="107">
        <f>SUM(K94:K131)</f>
        <v>193.6</v>
      </c>
      <c r="L132" s="107">
        <f>SUM(L94:L131)</f>
        <v>790.6</v>
      </c>
      <c r="M132" s="312"/>
      <c r="N132" s="313"/>
      <c r="O132" s="314"/>
      <c r="P132" s="314"/>
      <c r="Q132" s="315"/>
    </row>
    <row r="133" spans="1:18" s="1" customFormat="1" ht="21.75" customHeight="1">
      <c r="A133" s="1494" t="s">
        <v>13</v>
      </c>
      <c r="B133" s="1496" t="s">
        <v>13</v>
      </c>
      <c r="C133" s="1503" t="s">
        <v>42</v>
      </c>
      <c r="D133" s="1670"/>
      <c r="E133" s="1505" t="s">
        <v>66</v>
      </c>
      <c r="F133" s="1508"/>
      <c r="G133" s="1730" t="s">
        <v>295</v>
      </c>
      <c r="H133" s="254" t="s">
        <v>19</v>
      </c>
      <c r="I133" s="134">
        <v>9</v>
      </c>
      <c r="J133" s="134">
        <v>10</v>
      </c>
      <c r="K133" s="134">
        <v>10</v>
      </c>
      <c r="L133" s="134">
        <v>10</v>
      </c>
      <c r="M133" s="45" t="s">
        <v>67</v>
      </c>
      <c r="N133" s="876">
        <v>4</v>
      </c>
      <c r="O133" s="876">
        <v>5</v>
      </c>
      <c r="P133" s="876">
        <v>5</v>
      </c>
      <c r="Q133" s="850">
        <v>5</v>
      </c>
    </row>
    <row r="134" spans="1:18" s="1" customFormat="1" ht="37.5" customHeight="1">
      <c r="A134" s="1481"/>
      <c r="B134" s="1482"/>
      <c r="C134" s="1499"/>
      <c r="D134" s="1671"/>
      <c r="E134" s="1506"/>
      <c r="F134" s="1509"/>
      <c r="G134" s="1722"/>
      <c r="H134" s="66" t="s">
        <v>19</v>
      </c>
      <c r="I134" s="99">
        <v>17</v>
      </c>
      <c r="J134" s="99"/>
      <c r="K134" s="99"/>
      <c r="L134" s="99"/>
      <c r="M134" s="956" t="s">
        <v>183</v>
      </c>
      <c r="N134" s="967">
        <v>1</v>
      </c>
      <c r="O134" s="877"/>
      <c r="P134" s="877"/>
      <c r="Q134" s="851"/>
    </row>
    <row r="135" spans="1:18" s="1" customFormat="1" ht="17.25" customHeight="1" thickBot="1">
      <c r="A135" s="1495"/>
      <c r="B135" s="1497"/>
      <c r="C135" s="1504"/>
      <c r="D135" s="1672"/>
      <c r="E135" s="1507"/>
      <c r="F135" s="1510"/>
      <c r="G135" s="1731"/>
      <c r="H135" s="39" t="s">
        <v>47</v>
      </c>
      <c r="I135" s="85">
        <f>SUM(I133:I134)</f>
        <v>26</v>
      </c>
      <c r="J135" s="107">
        <f t="shared" ref="J135" si="12">SUM(J133)</f>
        <v>10</v>
      </c>
      <c r="K135" s="107">
        <f t="shared" ref="K135:L135" si="13">SUM(K133)</f>
        <v>10</v>
      </c>
      <c r="L135" s="107">
        <f t="shared" si="13"/>
        <v>10</v>
      </c>
      <c r="M135" s="113"/>
      <c r="N135" s="878"/>
      <c r="O135" s="878"/>
      <c r="P135" s="878"/>
      <c r="Q135" s="852"/>
    </row>
    <row r="136" spans="1:18" s="40" customFormat="1" ht="23.25" customHeight="1">
      <c r="A136" s="1494" t="s">
        <v>13</v>
      </c>
      <c r="B136" s="1496" t="s">
        <v>13</v>
      </c>
      <c r="C136" s="1498" t="s">
        <v>44</v>
      </c>
      <c r="D136" s="1750"/>
      <c r="E136" s="1488" t="s">
        <v>217</v>
      </c>
      <c r="F136" s="840"/>
      <c r="G136" s="1705" t="s">
        <v>292</v>
      </c>
      <c r="H136" s="70" t="s">
        <v>20</v>
      </c>
      <c r="I136" s="98">
        <v>5.4</v>
      </c>
      <c r="J136" s="98">
        <v>5.4</v>
      </c>
      <c r="K136" s="98">
        <v>5.4</v>
      </c>
      <c r="L136" s="98">
        <v>5.4</v>
      </c>
      <c r="M136" s="1501" t="s">
        <v>94</v>
      </c>
      <c r="N136" s="877">
        <v>1</v>
      </c>
      <c r="O136" s="397">
        <v>1</v>
      </c>
      <c r="P136" s="877">
        <v>1</v>
      </c>
      <c r="Q136" s="851">
        <v>1</v>
      </c>
    </row>
    <row r="137" spans="1:18" s="40" customFormat="1" ht="13.5" customHeight="1">
      <c r="A137" s="1481"/>
      <c r="B137" s="1482"/>
      <c r="C137" s="1499"/>
      <c r="D137" s="1751"/>
      <c r="E137" s="1753"/>
      <c r="F137" s="467"/>
      <c r="G137" s="1726"/>
      <c r="H137" s="66"/>
      <c r="I137" s="99"/>
      <c r="J137" s="99"/>
      <c r="K137" s="99"/>
      <c r="L137" s="99"/>
      <c r="M137" s="1669"/>
      <c r="N137" s="877"/>
      <c r="O137" s="398"/>
      <c r="P137" s="877"/>
      <c r="Q137" s="851"/>
    </row>
    <row r="138" spans="1:18" s="40" customFormat="1" ht="18.75" customHeight="1" thickBot="1">
      <c r="A138" s="1495"/>
      <c r="B138" s="1497"/>
      <c r="C138" s="1500"/>
      <c r="D138" s="1752"/>
      <c r="E138" s="233"/>
      <c r="F138" s="841"/>
      <c r="G138" s="1738"/>
      <c r="H138" s="39" t="s">
        <v>47</v>
      </c>
      <c r="I138" s="107">
        <f>SUM(I136:I136)</f>
        <v>5.4</v>
      </c>
      <c r="J138" s="107">
        <f>SUM(J136:J136)</f>
        <v>5.4</v>
      </c>
      <c r="K138" s="107">
        <f>SUM(K136:K136)</f>
        <v>5.4</v>
      </c>
      <c r="L138" s="107">
        <f>SUM(L136:L136)</f>
        <v>5.4</v>
      </c>
      <c r="M138" s="856"/>
      <c r="N138" s="878"/>
      <c r="O138" s="399"/>
      <c r="P138" s="878"/>
      <c r="Q138" s="852"/>
    </row>
    <row r="139" spans="1:18" s="1" customFormat="1" ht="15" customHeight="1" thickBot="1">
      <c r="A139" s="836" t="s">
        <v>13</v>
      </c>
      <c r="B139" s="837" t="s">
        <v>13</v>
      </c>
      <c r="C139" s="1461" t="s">
        <v>68</v>
      </c>
      <c r="D139" s="1462"/>
      <c r="E139" s="1462"/>
      <c r="F139" s="1462"/>
      <c r="G139" s="1462"/>
      <c r="H139" s="1511"/>
      <c r="I139" s="111">
        <f>I138+I135+I132+I92+I90+I86+I72+I70+I65+I61+I58</f>
        <v>14140.5</v>
      </c>
      <c r="J139" s="111">
        <f>J138+J135+J132+J92+J90+J86+J72+J70+J65+J61+J58</f>
        <v>15140.599999999999</v>
      </c>
      <c r="K139" s="116">
        <f>K138+K135+K132+K92+K90+K86+K72+K70+K65+K61+K58</f>
        <v>12762.7</v>
      </c>
      <c r="L139" s="116">
        <f>L138+L135+L132+L92+L90+L86+L72+L70+L65+L61+L58</f>
        <v>13588.7</v>
      </c>
      <c r="M139" s="41"/>
      <c r="N139" s="255"/>
      <c r="O139" s="255"/>
      <c r="P139" s="168"/>
      <c r="Q139" s="423"/>
    </row>
    <row r="140" spans="1:18" s="1" customFormat="1" ht="17.25" customHeight="1" thickBot="1">
      <c r="A140" s="43" t="s">
        <v>13</v>
      </c>
      <c r="B140" s="44" t="s">
        <v>21</v>
      </c>
      <c r="C140" s="1463" t="s">
        <v>69</v>
      </c>
      <c r="D140" s="1464"/>
      <c r="E140" s="1464"/>
      <c r="F140" s="1464"/>
      <c r="G140" s="1464"/>
      <c r="H140" s="1464"/>
      <c r="I140" s="1464"/>
      <c r="J140" s="1464"/>
      <c r="K140" s="1464"/>
      <c r="L140" s="1464"/>
      <c r="M140" s="1464"/>
      <c r="N140" s="1464"/>
      <c r="O140" s="1464"/>
      <c r="P140" s="1464"/>
      <c r="Q140" s="1466"/>
    </row>
    <row r="141" spans="1:18" s="1" customFormat="1" ht="15.75" customHeight="1">
      <c r="A141" s="1159" t="s">
        <v>13</v>
      </c>
      <c r="B141" s="1161" t="s">
        <v>21</v>
      </c>
      <c r="C141" s="409" t="s">
        <v>13</v>
      </c>
      <c r="D141" s="1171" t="s">
        <v>21</v>
      </c>
      <c r="E141" s="1488" t="s">
        <v>102</v>
      </c>
      <c r="F141" s="1704" t="s">
        <v>108</v>
      </c>
      <c r="G141" s="1705" t="s">
        <v>70</v>
      </c>
      <c r="H141" s="1172" t="s">
        <v>19</v>
      </c>
      <c r="I141" s="134">
        <f>487.8-48.6-15.7</f>
        <v>423.5</v>
      </c>
      <c r="J141" s="151">
        <f>399+15-20+20</f>
        <v>414</v>
      </c>
      <c r="K141" s="151">
        <v>324.7</v>
      </c>
      <c r="L141" s="151">
        <v>303.7</v>
      </c>
      <c r="M141" s="1173" t="s">
        <v>96</v>
      </c>
      <c r="N141" s="1179">
        <v>427</v>
      </c>
      <c r="O141" s="1179">
        <v>432</v>
      </c>
      <c r="P141" s="1180">
        <v>432</v>
      </c>
      <c r="Q141" s="1181">
        <v>432</v>
      </c>
    </row>
    <row r="142" spans="1:18" s="1" customFormat="1" ht="26.25" customHeight="1">
      <c r="A142" s="1156"/>
      <c r="B142" s="1162"/>
      <c r="C142" s="1157"/>
      <c r="D142" s="1157"/>
      <c r="E142" s="1470"/>
      <c r="F142" s="1490"/>
      <c r="G142" s="1706"/>
      <c r="H142" s="114" t="s">
        <v>110</v>
      </c>
      <c r="I142" s="112">
        <v>8</v>
      </c>
      <c r="J142" s="99"/>
      <c r="K142" s="99"/>
      <c r="L142" s="99"/>
      <c r="M142" s="1178" t="s">
        <v>137</v>
      </c>
      <c r="N142" s="213">
        <v>508</v>
      </c>
      <c r="O142" s="213">
        <v>509</v>
      </c>
      <c r="P142" s="811">
        <v>514</v>
      </c>
      <c r="Q142" s="214">
        <v>517</v>
      </c>
    </row>
    <row r="143" spans="1:18" s="1" customFormat="1" ht="15" customHeight="1">
      <c r="A143" s="1156"/>
      <c r="B143" s="1162"/>
      <c r="C143" s="1157"/>
      <c r="D143" s="1157"/>
      <c r="E143" s="1166"/>
      <c r="F143" s="1490"/>
      <c r="G143" s="1706"/>
      <c r="H143" s="114"/>
      <c r="I143" s="99"/>
      <c r="J143" s="99"/>
      <c r="K143" s="99"/>
      <c r="L143" s="99"/>
      <c r="M143" s="135" t="s">
        <v>97</v>
      </c>
      <c r="N143" s="197">
        <v>3</v>
      </c>
      <c r="O143" s="197">
        <v>3</v>
      </c>
      <c r="P143" s="812">
        <v>50</v>
      </c>
      <c r="Q143" s="196">
        <v>50</v>
      </c>
    </row>
    <row r="144" spans="1:18" s="1" customFormat="1" ht="15" customHeight="1">
      <c r="A144" s="1156"/>
      <c r="B144" s="1162"/>
      <c r="C144" s="1157"/>
      <c r="D144" s="1157"/>
      <c r="E144" s="1166"/>
      <c r="F144" s="1490"/>
      <c r="G144" s="1706"/>
      <c r="H144" s="114"/>
      <c r="I144" s="99"/>
      <c r="J144" s="99"/>
      <c r="K144" s="99"/>
      <c r="L144" s="99"/>
      <c r="M144" s="135" t="s">
        <v>95</v>
      </c>
      <c r="N144" s="197">
        <v>5</v>
      </c>
      <c r="O144" s="197">
        <v>5</v>
      </c>
      <c r="P144" s="812">
        <v>5</v>
      </c>
      <c r="Q144" s="196">
        <v>5</v>
      </c>
    </row>
    <row r="145" spans="1:18" s="1" customFormat="1" ht="15" customHeight="1">
      <c r="A145" s="1156"/>
      <c r="B145" s="1162"/>
      <c r="C145" s="1157"/>
      <c r="D145" s="1157"/>
      <c r="E145" s="1168"/>
      <c r="F145" s="1490"/>
      <c r="G145" s="131"/>
      <c r="H145" s="114"/>
      <c r="I145" s="99"/>
      <c r="J145" s="99"/>
      <c r="K145" s="99"/>
      <c r="L145" s="99"/>
      <c r="M145" s="1165" t="s">
        <v>119</v>
      </c>
      <c r="N145" s="215">
        <v>4</v>
      </c>
      <c r="O145" s="215">
        <v>4</v>
      </c>
      <c r="P145" s="812"/>
      <c r="Q145" s="196">
        <v>1</v>
      </c>
    </row>
    <row r="146" spans="1:18" s="1" customFormat="1" ht="15" customHeight="1">
      <c r="A146" s="1156"/>
      <c r="B146" s="1162"/>
      <c r="C146" s="1157"/>
      <c r="D146" s="1157"/>
      <c r="E146" s="1168"/>
      <c r="F146" s="1490"/>
      <c r="G146" s="131"/>
      <c r="H146" s="114"/>
      <c r="I146" s="99"/>
      <c r="J146" s="99"/>
      <c r="K146" s="99"/>
      <c r="L146" s="99"/>
      <c r="M146" s="135" t="s">
        <v>120</v>
      </c>
      <c r="N146" s="197">
        <v>14</v>
      </c>
      <c r="O146" s="197">
        <v>15</v>
      </c>
      <c r="P146" s="812">
        <v>15</v>
      </c>
      <c r="Q146" s="196">
        <v>15</v>
      </c>
    </row>
    <row r="147" spans="1:18" s="1" customFormat="1" ht="40.5" customHeight="1">
      <c r="A147" s="1156"/>
      <c r="B147" s="1162"/>
      <c r="C147" s="1157"/>
      <c r="D147" s="1157"/>
      <c r="E147" s="1168"/>
      <c r="F147" s="1167"/>
      <c r="G147" s="131"/>
      <c r="H147" s="896" t="s">
        <v>19</v>
      </c>
      <c r="I147" s="996">
        <f>17.3+48.6+15.7</f>
        <v>81.600000000000009</v>
      </c>
      <c r="J147" s="996">
        <v>69</v>
      </c>
      <c r="K147" s="996">
        <v>69</v>
      </c>
      <c r="L147" s="996">
        <v>69</v>
      </c>
      <c r="M147" s="1164" t="s">
        <v>282</v>
      </c>
      <c r="N147" s="213">
        <v>1</v>
      </c>
      <c r="O147" s="213">
        <v>1</v>
      </c>
      <c r="P147" s="811">
        <v>1</v>
      </c>
      <c r="Q147" s="214">
        <v>1</v>
      </c>
    </row>
    <row r="148" spans="1:18" s="1" customFormat="1" ht="39.75" customHeight="1">
      <c r="A148" s="1156"/>
      <c r="B148" s="1162"/>
      <c r="C148" s="1157"/>
      <c r="D148" s="1157"/>
      <c r="E148" s="1097"/>
      <c r="F148" s="1167"/>
      <c r="G148" s="131"/>
      <c r="H148" s="1074" t="s">
        <v>19</v>
      </c>
      <c r="I148" s="237"/>
      <c r="J148" s="237">
        <v>25</v>
      </c>
      <c r="K148" s="237"/>
      <c r="L148" s="237"/>
      <c r="M148" s="135" t="s">
        <v>309</v>
      </c>
      <c r="N148" s="812"/>
      <c r="O148" s="812">
        <v>2</v>
      </c>
      <c r="P148" s="812"/>
      <c r="Q148" s="196"/>
    </row>
    <row r="149" spans="1:18" s="1" customFormat="1" ht="17.25" customHeight="1">
      <c r="A149" s="1156"/>
      <c r="B149" s="1162"/>
      <c r="C149" s="1157"/>
      <c r="D149" s="1157"/>
      <c r="E149" s="1097"/>
      <c r="F149" s="1167"/>
      <c r="G149" s="131"/>
      <c r="H149" s="896" t="s">
        <v>19</v>
      </c>
      <c r="I149" s="996"/>
      <c r="J149" s="996">
        <v>39</v>
      </c>
      <c r="K149" s="996">
        <v>50</v>
      </c>
      <c r="L149" s="996"/>
      <c r="M149" s="1538" t="s">
        <v>301</v>
      </c>
      <c r="N149" s="213"/>
      <c r="O149" s="811">
        <v>51</v>
      </c>
      <c r="P149" s="811">
        <v>66</v>
      </c>
      <c r="Q149" s="214"/>
    </row>
    <row r="150" spans="1:18" s="1" customFormat="1" ht="34.5" customHeight="1">
      <c r="A150" s="1156"/>
      <c r="B150" s="1162"/>
      <c r="C150" s="1157"/>
      <c r="D150" s="1157"/>
      <c r="E150" s="1097"/>
      <c r="F150" s="1167"/>
      <c r="G150" s="131"/>
      <c r="H150" s="114" t="s">
        <v>19</v>
      </c>
      <c r="I150" s="99"/>
      <c r="J150" s="99">
        <f>0.4235*4+0.0242*50*4</f>
        <v>6.5339999999999998</v>
      </c>
      <c r="K150" s="99">
        <f>6.9+19.2</f>
        <v>26.1</v>
      </c>
      <c r="L150" s="99">
        <f>6.9+34</f>
        <v>40.9</v>
      </c>
      <c r="M150" s="1548"/>
      <c r="N150" s="1008"/>
      <c r="O150" s="1008"/>
      <c r="P150" s="1086"/>
      <c r="Q150" s="1098"/>
    </row>
    <row r="151" spans="1:18" s="1" customFormat="1" ht="28.5" customHeight="1">
      <c r="A151" s="1156"/>
      <c r="B151" s="1162"/>
      <c r="C151" s="1157"/>
      <c r="D151" s="1157"/>
      <c r="E151" s="1761" t="s">
        <v>310</v>
      </c>
      <c r="F151" s="1206" t="s">
        <v>267</v>
      </c>
      <c r="G151" s="131"/>
      <c r="H151" s="896" t="s">
        <v>19</v>
      </c>
      <c r="I151" s="996"/>
      <c r="J151" s="996"/>
      <c r="K151" s="996"/>
      <c r="L151" s="996">
        <f>30+15</f>
        <v>45</v>
      </c>
      <c r="M151" s="1169" t="s">
        <v>311</v>
      </c>
      <c r="N151" s="811"/>
      <c r="O151" s="811"/>
      <c r="P151" s="811">
        <v>1</v>
      </c>
      <c r="Q151" s="214"/>
    </row>
    <row r="152" spans="1:18" s="1" customFormat="1" ht="15" customHeight="1">
      <c r="A152" s="1156"/>
      <c r="B152" s="1162"/>
      <c r="C152" s="1157"/>
      <c r="D152" s="1157"/>
      <c r="E152" s="1762"/>
      <c r="F152" s="1207"/>
      <c r="G152" s="131"/>
      <c r="H152" s="114"/>
      <c r="I152" s="99"/>
      <c r="J152" s="99"/>
      <c r="K152" s="99"/>
      <c r="L152" s="99"/>
      <c r="M152" s="881" t="s">
        <v>312</v>
      </c>
      <c r="N152" s="791"/>
      <c r="O152" s="791"/>
      <c r="P152" s="791"/>
      <c r="Q152" s="273">
        <v>15</v>
      </c>
    </row>
    <row r="153" spans="1:18" s="1" customFormat="1" ht="18" customHeight="1" thickBot="1">
      <c r="A153" s="1160"/>
      <c r="B153" s="1163"/>
      <c r="C153" s="251"/>
      <c r="D153" s="251"/>
      <c r="E153" s="1177"/>
      <c r="F153" s="571"/>
      <c r="G153" s="1174"/>
      <c r="H153" s="463" t="s">
        <v>47</v>
      </c>
      <c r="I153" s="107">
        <f>SUM(I141:I152)</f>
        <v>513.1</v>
      </c>
      <c r="J153" s="107">
        <f>SUM(J141:J152)</f>
        <v>553.53399999999999</v>
      </c>
      <c r="K153" s="107">
        <f>SUM(K141:K152)</f>
        <v>469.8</v>
      </c>
      <c r="L153" s="107">
        <f>SUM(L141:L152)</f>
        <v>458.59999999999997</v>
      </c>
      <c r="M153" s="1158"/>
      <c r="N153" s="1175"/>
      <c r="O153" s="1175"/>
      <c r="P153" s="1175"/>
      <c r="Q153" s="1176"/>
    </row>
    <row r="154" spans="1:18" s="1" customFormat="1" ht="14.25" customHeight="1" thickBot="1">
      <c r="A154" s="1160" t="s">
        <v>13</v>
      </c>
      <c r="B154" s="1163" t="s">
        <v>21</v>
      </c>
      <c r="C154" s="1461" t="s">
        <v>68</v>
      </c>
      <c r="D154" s="1462"/>
      <c r="E154" s="1462"/>
      <c r="F154" s="1462"/>
      <c r="G154" s="1462"/>
      <c r="H154" s="1462"/>
      <c r="I154" s="338">
        <f>I153</f>
        <v>513.1</v>
      </c>
      <c r="J154" s="338">
        <f t="shared" ref="J154:L154" si="14">J153</f>
        <v>553.53399999999999</v>
      </c>
      <c r="K154" s="338">
        <f t="shared" si="14"/>
        <v>469.8</v>
      </c>
      <c r="L154" s="338">
        <f t="shared" si="14"/>
        <v>458.59999999999997</v>
      </c>
      <c r="M154" s="41"/>
      <c r="N154" s="168"/>
      <c r="O154" s="168"/>
      <c r="P154" s="168"/>
      <c r="Q154" s="42"/>
    </row>
    <row r="155" spans="1:18" s="1" customFormat="1" ht="17.25" customHeight="1" thickBot="1">
      <c r="A155" s="43" t="s">
        <v>13</v>
      </c>
      <c r="B155" s="44" t="s">
        <v>25</v>
      </c>
      <c r="C155" s="1463" t="s">
        <v>130</v>
      </c>
      <c r="D155" s="1464"/>
      <c r="E155" s="1464"/>
      <c r="F155" s="1464"/>
      <c r="G155" s="1711"/>
      <c r="H155" s="1464"/>
      <c r="I155" s="1464"/>
      <c r="J155" s="1464"/>
      <c r="K155" s="1464"/>
      <c r="L155" s="1464"/>
      <c r="M155" s="1464"/>
      <c r="N155" s="1464"/>
      <c r="O155" s="1464"/>
      <c r="P155" s="1464"/>
      <c r="Q155" s="1466"/>
    </row>
    <row r="156" spans="1:18" s="1" customFormat="1" ht="27" customHeight="1">
      <c r="A156" s="1101" t="s">
        <v>13</v>
      </c>
      <c r="B156" s="1102" t="s">
        <v>25</v>
      </c>
      <c r="C156" s="1109" t="s">
        <v>13</v>
      </c>
      <c r="D156" s="249"/>
      <c r="E156" s="51" t="s">
        <v>314</v>
      </c>
      <c r="F156" s="339"/>
      <c r="G156" s="250"/>
      <c r="H156" s="250"/>
      <c r="I156" s="125"/>
      <c r="J156" s="125"/>
      <c r="K156" s="125"/>
      <c r="L156" s="125"/>
      <c r="M156" s="745"/>
      <c r="N156" s="181"/>
      <c r="O156" s="181"/>
      <c r="P156" s="790"/>
      <c r="Q156" s="813"/>
    </row>
    <row r="157" spans="1:18" s="4" customFormat="1" ht="22.5" customHeight="1">
      <c r="A157" s="1442"/>
      <c r="B157" s="1445"/>
      <c r="C157" s="1781"/>
      <c r="D157" s="1103" t="s">
        <v>13</v>
      </c>
      <c r="E157" s="1783" t="s">
        <v>164</v>
      </c>
      <c r="F157" s="1133" t="s">
        <v>274</v>
      </c>
      <c r="G157" s="1702" t="s">
        <v>28</v>
      </c>
      <c r="H157" s="49" t="s">
        <v>19</v>
      </c>
      <c r="I157" s="99">
        <v>8.5</v>
      </c>
      <c r="J157" s="99"/>
      <c r="K157" s="99">
        <v>8.5</v>
      </c>
      <c r="L157" s="99">
        <v>2.5</v>
      </c>
      <c r="M157" s="340" t="s">
        <v>210</v>
      </c>
      <c r="N157" s="171"/>
      <c r="O157" s="353"/>
      <c r="P157" s="164"/>
      <c r="Q157" s="192">
        <v>7</v>
      </c>
      <c r="R157" s="1641"/>
    </row>
    <row r="158" spans="1:18" s="4" customFormat="1" ht="21.75" customHeight="1">
      <c r="A158" s="1442"/>
      <c r="B158" s="1445"/>
      <c r="C158" s="1781"/>
      <c r="D158" s="1103"/>
      <c r="E158" s="1784"/>
      <c r="F158" s="1756" t="s">
        <v>273</v>
      </c>
      <c r="G158" s="1703"/>
      <c r="H158" s="1193" t="s">
        <v>110</v>
      </c>
      <c r="I158" s="102"/>
      <c r="J158" s="102">
        <v>7.9</v>
      </c>
      <c r="K158" s="102"/>
      <c r="L158" s="102"/>
      <c r="M158" s="1194" t="s">
        <v>133</v>
      </c>
      <c r="N158" s="343">
        <v>66</v>
      </c>
      <c r="O158" s="468">
        <v>66</v>
      </c>
      <c r="P158" s="468">
        <v>150</v>
      </c>
      <c r="Q158" s="344">
        <v>50</v>
      </c>
      <c r="R158" s="1642"/>
    </row>
    <row r="159" spans="1:18" s="4" customFormat="1" ht="41.25" customHeight="1">
      <c r="A159" s="1442"/>
      <c r="B159" s="1445"/>
      <c r="C159" s="1781"/>
      <c r="D159" s="1107"/>
      <c r="E159" s="1784"/>
      <c r="F159" s="1757"/>
      <c r="G159" s="1147" t="s">
        <v>138</v>
      </c>
      <c r="H159" s="49" t="s">
        <v>131</v>
      </c>
      <c r="I159" s="99">
        <v>165</v>
      </c>
      <c r="J159" s="99">
        <v>165</v>
      </c>
      <c r="K159" s="99">
        <v>168.4</v>
      </c>
      <c r="L159" s="99">
        <v>113.8</v>
      </c>
      <c r="M159" s="1192" t="s">
        <v>134</v>
      </c>
      <c r="N159" s="999"/>
      <c r="O159" s="999"/>
      <c r="P159" s="468"/>
      <c r="Q159" s="344">
        <v>20</v>
      </c>
      <c r="R159" s="1642"/>
    </row>
    <row r="160" spans="1:18" s="4" customFormat="1" ht="21" customHeight="1">
      <c r="A160" s="1442"/>
      <c r="B160" s="1445"/>
      <c r="C160" s="1781"/>
      <c r="D160" s="1103" t="s">
        <v>21</v>
      </c>
      <c r="E160" s="1783" t="s">
        <v>211</v>
      </c>
      <c r="F160" s="1106" t="s">
        <v>267</v>
      </c>
      <c r="G160" s="1760" t="s">
        <v>138</v>
      </c>
      <c r="H160" s="972" t="s">
        <v>19</v>
      </c>
      <c r="I160" s="98">
        <v>20</v>
      </c>
      <c r="J160" s="98">
        <v>39</v>
      </c>
      <c r="K160" s="98">
        <v>10</v>
      </c>
      <c r="L160" s="98"/>
      <c r="M160" s="561" t="s">
        <v>140</v>
      </c>
      <c r="N160" s="562"/>
      <c r="O160" s="562"/>
      <c r="P160" s="164">
        <v>1</v>
      </c>
      <c r="Q160" s="192"/>
    </row>
    <row r="161" spans="1:18" s="4" customFormat="1" ht="24.75" customHeight="1">
      <c r="A161" s="1442"/>
      <c r="B161" s="1445"/>
      <c r="C161" s="1781"/>
      <c r="D161" s="317"/>
      <c r="E161" s="1785"/>
      <c r="F161" s="1132" t="s">
        <v>268</v>
      </c>
      <c r="G161" s="1790"/>
      <c r="H161" s="347" t="s">
        <v>19</v>
      </c>
      <c r="I161" s="103"/>
      <c r="J161" s="103"/>
      <c r="K161" s="103">
        <v>10</v>
      </c>
      <c r="L161" s="103"/>
      <c r="M161" s="1023" t="s">
        <v>259</v>
      </c>
      <c r="N161" s="341"/>
      <c r="O161" s="341"/>
      <c r="P161" s="469">
        <v>200</v>
      </c>
      <c r="Q161" s="342"/>
    </row>
    <row r="162" spans="1:18" s="4" customFormat="1" ht="15.75" customHeight="1">
      <c r="A162" s="1442"/>
      <c r="B162" s="1445"/>
      <c r="C162" s="1781"/>
      <c r="D162" s="1111" t="s">
        <v>25</v>
      </c>
      <c r="E162" s="1758" t="s">
        <v>277</v>
      </c>
      <c r="F162" s="1759" t="s">
        <v>267</v>
      </c>
      <c r="G162" s="1760"/>
      <c r="H162" s="1645" t="s">
        <v>19</v>
      </c>
      <c r="I162" s="1646"/>
      <c r="J162" s="1646"/>
      <c r="K162" s="1646">
        <v>100</v>
      </c>
      <c r="L162" s="1646">
        <v>100</v>
      </c>
      <c r="M162" s="561" t="s">
        <v>275</v>
      </c>
      <c r="N162" s="562"/>
      <c r="O162" s="562">
        <v>1</v>
      </c>
      <c r="P162" s="176"/>
      <c r="Q162" s="192"/>
    </row>
    <row r="163" spans="1:18" s="4" customFormat="1" ht="14.25" customHeight="1">
      <c r="A163" s="1442"/>
      <c r="B163" s="1445"/>
      <c r="C163" s="1781"/>
      <c r="D163" s="235"/>
      <c r="E163" s="1758"/>
      <c r="F163" s="1759"/>
      <c r="G163" s="1760"/>
      <c r="H163" s="1645"/>
      <c r="I163" s="1646"/>
      <c r="J163" s="1646"/>
      <c r="K163" s="1646"/>
      <c r="L163" s="1646"/>
      <c r="M163" s="1023" t="s">
        <v>276</v>
      </c>
      <c r="N163" s="341"/>
      <c r="O163" s="341"/>
      <c r="P163" s="341">
        <v>1</v>
      </c>
      <c r="Q163" s="342">
        <v>2</v>
      </c>
    </row>
    <row r="164" spans="1:18" s="4" customFormat="1" ht="32.25" customHeight="1">
      <c r="A164" s="1442"/>
      <c r="B164" s="1445"/>
      <c r="C164" s="1781"/>
      <c r="D164" s="1170" t="s">
        <v>27</v>
      </c>
      <c r="E164" s="1154" t="s">
        <v>283</v>
      </c>
      <c r="F164" s="1155" t="s">
        <v>267</v>
      </c>
      <c r="G164" s="1182"/>
      <c r="H164" s="1184"/>
      <c r="I164" s="1183"/>
      <c r="J164" s="1183"/>
      <c r="K164" s="1183"/>
      <c r="L164" s="1183"/>
      <c r="M164" s="1185" t="s">
        <v>284</v>
      </c>
      <c r="N164" s="1186"/>
      <c r="O164" s="1187">
        <v>1</v>
      </c>
      <c r="P164" s="1187"/>
      <c r="Q164" s="1188"/>
    </row>
    <row r="165" spans="1:18" s="1" customFormat="1" ht="15" customHeight="1">
      <c r="A165" s="1442"/>
      <c r="B165" s="1445"/>
      <c r="C165" s="1781"/>
      <c r="D165" s="235"/>
      <c r="E165" s="1754" t="s">
        <v>144</v>
      </c>
      <c r="F165" s="1786" t="s">
        <v>268</v>
      </c>
      <c r="G165" s="1748" t="s">
        <v>28</v>
      </c>
      <c r="H165" s="1108" t="s">
        <v>110</v>
      </c>
      <c r="I165" s="963">
        <v>34.5</v>
      </c>
      <c r="J165" s="963"/>
      <c r="K165" s="963"/>
      <c r="L165" s="963"/>
      <c r="M165" s="1788" t="s">
        <v>143</v>
      </c>
      <c r="N165" s="970">
        <v>1</v>
      </c>
      <c r="O165" s="1105"/>
      <c r="P165" s="1105"/>
      <c r="Q165" s="1104"/>
    </row>
    <row r="166" spans="1:18" s="1" customFormat="1" ht="11.25" customHeight="1">
      <c r="A166" s="1442"/>
      <c r="B166" s="1445"/>
      <c r="C166" s="1781"/>
      <c r="D166" s="1112"/>
      <c r="E166" s="1755"/>
      <c r="F166" s="1787"/>
      <c r="G166" s="1702"/>
      <c r="H166" s="1000"/>
      <c r="I166" s="1001"/>
      <c r="J166" s="1001"/>
      <c r="K166" s="1001"/>
      <c r="L166" s="1001"/>
      <c r="M166" s="1789"/>
      <c r="N166" s="971"/>
      <c r="O166" s="162"/>
      <c r="P166" s="162"/>
      <c r="Q166" s="193"/>
    </row>
    <row r="167" spans="1:18" s="40" customFormat="1" ht="17.25" customHeight="1" thickBot="1">
      <c r="A167" s="1443"/>
      <c r="B167" s="1446"/>
      <c r="C167" s="1782"/>
      <c r="D167" s="266"/>
      <c r="E167" s="1002"/>
      <c r="F167" s="1003"/>
      <c r="G167" s="1110"/>
      <c r="H167" s="1004" t="s">
        <v>47</v>
      </c>
      <c r="I167" s="105">
        <f>SUM(I157:I166)</f>
        <v>228</v>
      </c>
      <c r="J167" s="105">
        <f>SUM(J157:J166)</f>
        <v>211.9</v>
      </c>
      <c r="K167" s="105">
        <f>SUM(K157:K166)</f>
        <v>296.89999999999998</v>
      </c>
      <c r="L167" s="105">
        <f>SUM(L157:L166)</f>
        <v>216.3</v>
      </c>
      <c r="M167" s="312"/>
      <c r="N167" s="313"/>
      <c r="O167" s="314"/>
      <c r="P167" s="314"/>
      <c r="Q167" s="814"/>
    </row>
    <row r="168" spans="1:18" s="1" customFormat="1" ht="13.5" thickBot="1">
      <c r="A168" s="836" t="s">
        <v>13</v>
      </c>
      <c r="B168" s="825" t="s">
        <v>25</v>
      </c>
      <c r="C168" s="1461" t="s">
        <v>68</v>
      </c>
      <c r="D168" s="1462"/>
      <c r="E168" s="1462"/>
      <c r="F168" s="1462"/>
      <c r="G168" s="1462"/>
      <c r="H168" s="1462"/>
      <c r="I168" s="338">
        <f t="shared" ref="I168:L168" si="15">I167</f>
        <v>228</v>
      </c>
      <c r="J168" s="338">
        <f t="shared" si="15"/>
        <v>211.9</v>
      </c>
      <c r="K168" s="338">
        <f t="shared" ref="K168" si="16">K167</f>
        <v>296.89999999999998</v>
      </c>
      <c r="L168" s="338">
        <f t="shared" si="15"/>
        <v>216.3</v>
      </c>
      <c r="M168" s="41"/>
      <c r="N168" s="168"/>
      <c r="O168" s="168"/>
      <c r="P168" s="168"/>
      <c r="Q168" s="423"/>
    </row>
    <row r="169" spans="1:18" s="1" customFormat="1" ht="16.5" customHeight="1" thickBot="1">
      <c r="A169" s="43" t="s">
        <v>13</v>
      </c>
      <c r="B169" s="245" t="s">
        <v>27</v>
      </c>
      <c r="C169" s="1463" t="s">
        <v>71</v>
      </c>
      <c r="D169" s="1464"/>
      <c r="E169" s="1464"/>
      <c r="F169" s="1464"/>
      <c r="G169" s="1464"/>
      <c r="H169" s="1464"/>
      <c r="I169" s="1465"/>
      <c r="J169" s="1465"/>
      <c r="K169" s="1465"/>
      <c r="L169" s="1465"/>
      <c r="M169" s="1464"/>
      <c r="N169" s="1464"/>
      <c r="O169" s="1464"/>
      <c r="P169" s="1464"/>
      <c r="Q169" s="1466"/>
    </row>
    <row r="170" spans="1:18" s="1" customFormat="1" ht="39.75" customHeight="1">
      <c r="A170" s="835" t="s">
        <v>13</v>
      </c>
      <c r="B170" s="824" t="s">
        <v>27</v>
      </c>
      <c r="C170" s="336" t="s">
        <v>13</v>
      </c>
      <c r="D170" s="838"/>
      <c r="E170" s="51" t="s">
        <v>72</v>
      </c>
      <c r="F170" s="372"/>
      <c r="G170" s="882"/>
      <c r="H170" s="33"/>
      <c r="I170" s="919"/>
      <c r="J170" s="920"/>
      <c r="K170" s="921"/>
      <c r="L170" s="919"/>
      <c r="M170" s="52"/>
      <c r="N170" s="181"/>
      <c r="O170" s="181"/>
      <c r="P170" s="790"/>
      <c r="Q170" s="813"/>
    </row>
    <row r="171" spans="1:18" s="1" customFormat="1" ht="16.5" customHeight="1">
      <c r="A171" s="832"/>
      <c r="B171" s="833"/>
      <c r="C171" s="885"/>
      <c r="D171" s="879" t="s">
        <v>13</v>
      </c>
      <c r="E171" s="1436" t="s">
        <v>315</v>
      </c>
      <c r="F171" s="73"/>
      <c r="G171" s="1763" t="s">
        <v>287</v>
      </c>
      <c r="H171" s="25" t="s">
        <v>110</v>
      </c>
      <c r="I171" s="218">
        <v>12</v>
      </c>
      <c r="J171" s="218"/>
      <c r="K171" s="219"/>
      <c r="L171" s="218"/>
      <c r="M171" s="1636" t="s">
        <v>285</v>
      </c>
      <c r="N171" s="248"/>
      <c r="O171" s="248">
        <v>30</v>
      </c>
      <c r="P171" s="729">
        <v>40</v>
      </c>
      <c r="Q171" s="274">
        <v>60</v>
      </c>
      <c r="R171" s="271"/>
    </row>
    <row r="172" spans="1:18" s="1" customFormat="1" ht="15" customHeight="1">
      <c r="A172" s="1142"/>
      <c r="B172" s="1143"/>
      <c r="C172" s="1145"/>
      <c r="D172" s="1144"/>
      <c r="E172" s="1635"/>
      <c r="F172" s="73"/>
      <c r="G172" s="1764"/>
      <c r="H172" s="19" t="s">
        <v>23</v>
      </c>
      <c r="I172" s="220"/>
      <c r="J172" s="220">
        <v>40</v>
      </c>
      <c r="K172" s="221">
        <v>107.2</v>
      </c>
      <c r="L172" s="220">
        <v>107.2</v>
      </c>
      <c r="M172" s="1548"/>
      <c r="N172" s="1153"/>
      <c r="O172" s="1202"/>
      <c r="P172" s="1203"/>
      <c r="Q172" s="1204"/>
      <c r="R172" s="271"/>
    </row>
    <row r="173" spans="1:18" s="1" customFormat="1" ht="18" customHeight="1">
      <c r="A173" s="832"/>
      <c r="B173" s="833"/>
      <c r="C173" s="885"/>
      <c r="D173" s="880"/>
      <c r="E173" s="1437"/>
      <c r="F173" s="73"/>
      <c r="G173" s="1764"/>
      <c r="H173" s="22" t="s">
        <v>19</v>
      </c>
      <c r="I173" s="1088"/>
      <c r="J173" s="223"/>
      <c r="K173" s="184">
        <v>92.8</v>
      </c>
      <c r="L173" s="223">
        <v>92.8</v>
      </c>
      <c r="M173" s="1198" t="s">
        <v>192</v>
      </c>
      <c r="N173" s="1086">
        <v>1</v>
      </c>
      <c r="O173" s="206"/>
      <c r="P173" s="791"/>
      <c r="Q173" s="273"/>
      <c r="R173" s="271"/>
    </row>
    <row r="174" spans="1:18" s="1" customFormat="1" ht="16.5" customHeight="1">
      <c r="A174" s="832"/>
      <c r="B174" s="833"/>
      <c r="C174" s="885"/>
      <c r="D174" s="834" t="s">
        <v>21</v>
      </c>
      <c r="E174" s="1635" t="s">
        <v>147</v>
      </c>
      <c r="F174" s="73"/>
      <c r="G174" s="1764"/>
      <c r="H174" s="25" t="s">
        <v>110</v>
      </c>
      <c r="I174" s="218">
        <v>2</v>
      </c>
      <c r="J174" s="513">
        <v>2</v>
      </c>
      <c r="K174" s="142"/>
      <c r="L174" s="220"/>
      <c r="M174" s="207" t="s">
        <v>258</v>
      </c>
      <c r="N174" s="248"/>
      <c r="O174" s="248">
        <v>1</v>
      </c>
      <c r="P174" s="729"/>
      <c r="Q174" s="274"/>
      <c r="R174" s="271"/>
    </row>
    <row r="175" spans="1:18" s="1" customFormat="1" ht="28.5" customHeight="1">
      <c r="A175" s="832"/>
      <c r="B175" s="833"/>
      <c r="C175" s="885"/>
      <c r="D175" s="880"/>
      <c r="E175" s="1780"/>
      <c r="F175" s="73"/>
      <c r="G175" s="1764"/>
      <c r="H175" s="22" t="s">
        <v>19</v>
      </c>
      <c r="I175" s="223"/>
      <c r="J175" s="221"/>
      <c r="K175" s="142"/>
      <c r="L175" s="220">
        <v>160</v>
      </c>
      <c r="M175" s="1093" t="s">
        <v>156</v>
      </c>
      <c r="N175" s="1019"/>
      <c r="O175" s="1019"/>
      <c r="P175" s="1196"/>
      <c r="Q175" s="1205">
        <v>40</v>
      </c>
      <c r="R175" s="271"/>
    </row>
    <row r="176" spans="1:18" s="1" customFormat="1" ht="13.5" customHeight="1">
      <c r="A176" s="1078"/>
      <c r="B176" s="1079"/>
      <c r="C176" s="1083"/>
      <c r="D176" s="1197" t="s">
        <v>25</v>
      </c>
      <c r="E176" s="1513" t="s">
        <v>157</v>
      </c>
      <c r="F176" s="1200"/>
      <c r="G176" s="1764"/>
      <c r="H176" s="19" t="s">
        <v>19</v>
      </c>
      <c r="I176" s="220">
        <v>25.6</v>
      </c>
      <c r="J176" s="219"/>
      <c r="K176" s="225">
        <v>25</v>
      </c>
      <c r="L176" s="218">
        <v>25</v>
      </c>
      <c r="M176" s="1100" t="s">
        <v>153</v>
      </c>
      <c r="N176" s="248">
        <v>90</v>
      </c>
      <c r="O176" s="248">
        <v>90</v>
      </c>
      <c r="P176" s="1085" t="s">
        <v>181</v>
      </c>
      <c r="Q176" s="412" t="s">
        <v>181</v>
      </c>
    </row>
    <row r="177" spans="1:18" s="1" customFormat="1" ht="15" customHeight="1">
      <c r="A177" s="1149"/>
      <c r="B177" s="1150"/>
      <c r="C177" s="1151"/>
      <c r="D177" s="1197"/>
      <c r="E177" s="1557"/>
      <c r="F177" s="1200"/>
      <c r="G177" s="1764"/>
      <c r="H177" s="1220" t="s">
        <v>23</v>
      </c>
      <c r="I177" s="1217"/>
      <c r="J177" s="1217">
        <v>25</v>
      </c>
      <c r="K177" s="1216"/>
      <c r="L177" s="1217"/>
      <c r="M177" s="1215"/>
      <c r="N177" s="1153"/>
      <c r="O177" s="1202"/>
      <c r="P177" s="1218"/>
      <c r="Q177" s="1219"/>
    </row>
    <row r="178" spans="1:18" s="1" customFormat="1" ht="14.25" customHeight="1">
      <c r="A178" s="1078"/>
      <c r="B178" s="1079"/>
      <c r="C178" s="1083"/>
      <c r="D178" s="1197"/>
      <c r="E178" s="1557"/>
      <c r="F178" s="1200"/>
      <c r="G178" s="1764"/>
      <c r="H178" s="19" t="s">
        <v>110</v>
      </c>
      <c r="I178" s="220"/>
      <c r="J178" s="221">
        <v>12.1</v>
      </c>
      <c r="K178" s="142"/>
      <c r="L178" s="220"/>
      <c r="M178" s="1214" t="s">
        <v>182</v>
      </c>
      <c r="N178" s="1086">
        <v>15</v>
      </c>
      <c r="O178" s="264">
        <v>15</v>
      </c>
      <c r="P178" s="1087"/>
      <c r="Q178" s="413"/>
      <c r="R178" s="271"/>
    </row>
    <row r="179" spans="1:18" s="1" customFormat="1" ht="25.5" customHeight="1">
      <c r="A179" s="1149"/>
      <c r="B179" s="1150"/>
      <c r="C179" s="1151"/>
      <c r="D179" s="1199"/>
      <c r="E179" s="1640"/>
      <c r="F179" s="1201"/>
      <c r="G179" s="1764"/>
      <c r="H179" s="22" t="s">
        <v>19</v>
      </c>
      <c r="I179" s="223">
        <v>12.1</v>
      </c>
      <c r="J179" s="1152"/>
      <c r="K179" s="184"/>
      <c r="L179" s="223"/>
      <c r="M179" s="881" t="s">
        <v>191</v>
      </c>
      <c r="N179" s="1012">
        <v>1</v>
      </c>
      <c r="O179" s="206">
        <v>1</v>
      </c>
      <c r="P179" s="994"/>
      <c r="Q179" s="514"/>
      <c r="R179" s="271"/>
    </row>
    <row r="180" spans="1:18" s="1" customFormat="1" ht="14.25" customHeight="1">
      <c r="A180" s="982"/>
      <c r="B180" s="983"/>
      <c r="C180" s="984"/>
      <c r="D180" s="1099" t="s">
        <v>27</v>
      </c>
      <c r="E180" s="1635" t="s">
        <v>188</v>
      </c>
      <c r="F180" s="73"/>
      <c r="G180" s="1764"/>
      <c r="H180" s="19" t="s">
        <v>110</v>
      </c>
      <c r="I180" s="220">
        <v>191</v>
      </c>
      <c r="J180" s="221">
        <v>23.8</v>
      </c>
      <c r="K180" s="142"/>
      <c r="L180" s="220"/>
      <c r="M180" s="1636" t="s">
        <v>155</v>
      </c>
      <c r="N180" s="727">
        <v>100</v>
      </c>
      <c r="O180" s="264">
        <v>100</v>
      </c>
      <c r="P180" s="1005"/>
      <c r="Q180" s="274"/>
      <c r="R180" s="271"/>
    </row>
    <row r="181" spans="1:18" s="1" customFormat="1" ht="15" customHeight="1">
      <c r="A181" s="982"/>
      <c r="B181" s="983"/>
      <c r="C181" s="984"/>
      <c r="D181" s="985"/>
      <c r="E181" s="1635"/>
      <c r="F181" s="73"/>
      <c r="G181" s="1764"/>
      <c r="H181" s="22"/>
      <c r="I181" s="223"/>
      <c r="J181" s="1152"/>
      <c r="K181" s="184"/>
      <c r="L181" s="223"/>
      <c r="M181" s="1637"/>
      <c r="N181" s="791"/>
      <c r="O181" s="206"/>
      <c r="P181" s="1011"/>
      <c r="Q181" s="273"/>
      <c r="R181" s="271"/>
    </row>
    <row r="182" spans="1:18" s="1" customFormat="1" ht="18.75" customHeight="1">
      <c r="A182" s="982"/>
      <c r="B182" s="983"/>
      <c r="C182" s="984"/>
      <c r="D182" s="986"/>
      <c r="E182" s="1696" t="s">
        <v>125</v>
      </c>
      <c r="F182" s="1006"/>
      <c r="G182" s="1764"/>
      <c r="H182" s="976" t="s">
        <v>110</v>
      </c>
      <c r="I182" s="977">
        <v>15.3</v>
      </c>
      <c r="J182" s="1057"/>
      <c r="K182" s="1007"/>
      <c r="L182" s="977"/>
      <c r="M182" s="1698" t="s">
        <v>154</v>
      </c>
      <c r="N182" s="1008">
        <v>100</v>
      </c>
      <c r="O182" s="264"/>
      <c r="P182" s="727"/>
      <c r="Q182" s="265"/>
      <c r="R182" s="271"/>
    </row>
    <row r="183" spans="1:18" s="1" customFormat="1" ht="20.25" customHeight="1">
      <c r="A183" s="982"/>
      <c r="B183" s="983"/>
      <c r="C183" s="984"/>
      <c r="D183" s="985"/>
      <c r="E183" s="1697"/>
      <c r="F183" s="1006"/>
      <c r="G183" s="1764"/>
      <c r="H183" s="961" t="s">
        <v>19</v>
      </c>
      <c r="I183" s="980"/>
      <c r="J183" s="1009"/>
      <c r="K183" s="1010"/>
      <c r="L183" s="980"/>
      <c r="M183" s="1699"/>
      <c r="N183" s="1008"/>
      <c r="O183" s="264"/>
      <c r="P183" s="727"/>
      <c r="Q183" s="265"/>
      <c r="R183" s="271"/>
    </row>
    <row r="184" spans="1:18" s="1" customFormat="1" ht="27" customHeight="1">
      <c r="A184" s="982"/>
      <c r="B184" s="983"/>
      <c r="C184" s="984"/>
      <c r="D184" s="318"/>
      <c r="E184" s="1056" t="s">
        <v>190</v>
      </c>
      <c r="F184" s="1006"/>
      <c r="G184" s="1765"/>
      <c r="H184" s="1013" t="s">
        <v>19</v>
      </c>
      <c r="I184" s="1016">
        <f>13.3+5.5-15</f>
        <v>3.8000000000000007</v>
      </c>
      <c r="J184" s="1014"/>
      <c r="K184" s="1015"/>
      <c r="L184" s="1016"/>
      <c r="M184" s="1017" t="s">
        <v>189</v>
      </c>
      <c r="N184" s="1018">
        <v>100</v>
      </c>
      <c r="O184" s="217"/>
      <c r="P184" s="728"/>
      <c r="Q184" s="212"/>
      <c r="R184" s="271"/>
    </row>
    <row r="185" spans="1:18" s="40" customFormat="1" ht="15" customHeight="1" thickBot="1">
      <c r="A185" s="836"/>
      <c r="B185" s="837"/>
      <c r="C185" s="335"/>
      <c r="D185" s="311"/>
      <c r="E185" s="309"/>
      <c r="F185" s="310"/>
      <c r="G185" s="200"/>
      <c r="H185" s="463" t="s">
        <v>47</v>
      </c>
      <c r="I185" s="107">
        <f>SUM(I171:I184)</f>
        <v>261.8</v>
      </c>
      <c r="J185" s="107">
        <f>SUM(J171:J184)</f>
        <v>102.89999999999999</v>
      </c>
      <c r="K185" s="107">
        <f>SUM(K171:K184)</f>
        <v>225</v>
      </c>
      <c r="L185" s="107">
        <f>SUM(L171:L184)</f>
        <v>385</v>
      </c>
      <c r="M185" s="312"/>
      <c r="N185" s="313"/>
      <c r="O185" s="314"/>
      <c r="P185" s="314"/>
      <c r="Q185" s="315"/>
      <c r="R185" s="512"/>
    </row>
    <row r="186" spans="1:18" s="4" customFormat="1" ht="15" customHeight="1">
      <c r="A186" s="1441" t="s">
        <v>13</v>
      </c>
      <c r="B186" s="1444" t="s">
        <v>27</v>
      </c>
      <c r="C186" s="1447" t="s">
        <v>21</v>
      </c>
      <c r="D186" s="826"/>
      <c r="E186" s="1774" t="s">
        <v>286</v>
      </c>
      <c r="F186" s="1453"/>
      <c r="G186" s="1775"/>
      <c r="H186" s="465" t="s">
        <v>19</v>
      </c>
      <c r="I186" s="134"/>
      <c r="J186" s="202"/>
      <c r="K186" s="134"/>
      <c r="L186" s="134"/>
      <c r="M186" s="198"/>
      <c r="N186" s="182"/>
      <c r="O186" s="182"/>
      <c r="P186" s="792"/>
      <c r="Q186" s="815"/>
      <c r="R186" s="28"/>
    </row>
    <row r="187" spans="1:18" s="4" customFormat="1" ht="10.5" customHeight="1">
      <c r="A187" s="1442"/>
      <c r="B187" s="1445"/>
      <c r="C187" s="1448"/>
      <c r="D187" s="827"/>
      <c r="E187" s="1437"/>
      <c r="F187" s="1454"/>
      <c r="G187" s="1776"/>
      <c r="H187" s="465"/>
      <c r="I187" s="99"/>
      <c r="J187" s="137"/>
      <c r="K187" s="99"/>
      <c r="L187" s="99"/>
      <c r="M187" s="1459"/>
      <c r="N187" s="183"/>
      <c r="O187" s="183"/>
      <c r="P187" s="793"/>
      <c r="Q187" s="358"/>
    </row>
    <row r="188" spans="1:18" s="1" customFormat="1" ht="21" customHeight="1" thickBot="1">
      <c r="A188" s="1443"/>
      <c r="B188" s="1446"/>
      <c r="C188" s="1449"/>
      <c r="D188" s="828"/>
      <c r="E188" s="1638"/>
      <c r="F188" s="1455"/>
      <c r="G188" s="1777"/>
      <c r="H188" s="685" t="s">
        <v>47</v>
      </c>
      <c r="I188" s="107">
        <f t="shared" ref="I188:L188" si="17">I187+I186</f>
        <v>0</v>
      </c>
      <c r="J188" s="311">
        <f t="shared" si="17"/>
        <v>0</v>
      </c>
      <c r="K188" s="107">
        <f t="shared" ref="K188" si="18">K187+K186</f>
        <v>0</v>
      </c>
      <c r="L188" s="107">
        <f t="shared" si="17"/>
        <v>0</v>
      </c>
      <c r="M188" s="1460"/>
      <c r="N188" s="399"/>
      <c r="O188" s="399"/>
      <c r="P188" s="849"/>
      <c r="Q188" s="852"/>
    </row>
    <row r="189" spans="1:18" s="1" customFormat="1" ht="13.5" thickBot="1">
      <c r="A189" s="43" t="s">
        <v>13</v>
      </c>
      <c r="B189" s="47" t="s">
        <v>27</v>
      </c>
      <c r="C189" s="1418" t="s">
        <v>68</v>
      </c>
      <c r="D189" s="1419"/>
      <c r="E189" s="1419"/>
      <c r="F189" s="1419"/>
      <c r="G189" s="1419"/>
      <c r="H189" s="1419"/>
      <c r="I189" s="116">
        <f t="shared" ref="I189:L189" si="19">I185+I188</f>
        <v>261.8</v>
      </c>
      <c r="J189" s="116">
        <f t="shared" si="19"/>
        <v>102.89999999999999</v>
      </c>
      <c r="K189" s="809">
        <f t="shared" ref="K189" si="20">K185+K188</f>
        <v>225</v>
      </c>
      <c r="L189" s="116">
        <f t="shared" si="19"/>
        <v>385</v>
      </c>
      <c r="M189" s="1421"/>
      <c r="N189" s="1422"/>
      <c r="O189" s="1422"/>
      <c r="P189" s="1422"/>
      <c r="Q189" s="1423"/>
    </row>
    <row r="190" spans="1:18" s="4" customFormat="1" ht="13.5" thickBot="1">
      <c r="A190" s="43" t="s">
        <v>13</v>
      </c>
      <c r="B190" s="1424" t="s">
        <v>73</v>
      </c>
      <c r="C190" s="1425"/>
      <c r="D190" s="1425"/>
      <c r="E190" s="1425"/>
      <c r="F190" s="1425"/>
      <c r="G190" s="1425"/>
      <c r="H190" s="1426"/>
      <c r="I190" s="86">
        <f>SUM(I189,I154,I139,I168,)</f>
        <v>15143.4</v>
      </c>
      <c r="J190" s="439">
        <f>SUM(J189,J154,J139,J168,)</f>
        <v>16008.933999999997</v>
      </c>
      <c r="K190" s="454">
        <f>SUM(K189,K154,K139,K168,)</f>
        <v>13754.4</v>
      </c>
      <c r="L190" s="439">
        <f>SUM(L189,L154,L139,L168,)</f>
        <v>14648.6</v>
      </c>
      <c r="M190" s="1427"/>
      <c r="N190" s="1428"/>
      <c r="O190" s="1428"/>
      <c r="P190" s="1428"/>
      <c r="Q190" s="1429"/>
    </row>
    <row r="191" spans="1:18" s="4" customFormat="1" ht="13.5" thickBot="1">
      <c r="A191" s="53" t="s">
        <v>25</v>
      </c>
      <c r="B191" s="1430" t="s">
        <v>74</v>
      </c>
      <c r="C191" s="1431"/>
      <c r="D191" s="1431"/>
      <c r="E191" s="1431"/>
      <c r="F191" s="1431"/>
      <c r="G191" s="1431"/>
      <c r="H191" s="1432"/>
      <c r="I191" s="203">
        <f t="shared" ref="I191:L191" si="21">I190</f>
        <v>15143.4</v>
      </c>
      <c r="J191" s="203">
        <f t="shared" si="21"/>
        <v>16008.933999999997</v>
      </c>
      <c r="K191" s="185">
        <f t="shared" ref="K191" si="22">K190</f>
        <v>13754.4</v>
      </c>
      <c r="L191" s="203">
        <f t="shared" si="21"/>
        <v>14648.6</v>
      </c>
      <c r="M191" s="1433"/>
      <c r="N191" s="1434"/>
      <c r="O191" s="1434"/>
      <c r="P191" s="1434"/>
      <c r="Q191" s="1435"/>
    </row>
    <row r="192" spans="1:18" s="28" customFormat="1" ht="12.75">
      <c r="A192" s="1634" t="s">
        <v>317</v>
      </c>
      <c r="B192" s="1634"/>
      <c r="C192" s="1634"/>
      <c r="D192" s="1634"/>
      <c r="E192" s="1634"/>
      <c r="F192" s="1634"/>
      <c r="G192" s="1634"/>
      <c r="H192" s="1634"/>
      <c r="I192" s="1634"/>
      <c r="J192" s="1634"/>
      <c r="K192" s="1634"/>
      <c r="L192" s="199"/>
      <c r="M192" s="133"/>
      <c r="N192" s="133"/>
      <c r="O192" s="133"/>
      <c r="P192" s="133"/>
      <c r="Q192" s="133"/>
    </row>
    <row r="193" spans="1:17" s="28" customFormat="1" ht="12.75">
      <c r="A193" s="133"/>
      <c r="B193" s="54"/>
      <c r="C193" s="54"/>
      <c r="D193" s="54"/>
      <c r="E193" s="54"/>
      <c r="F193" s="54"/>
      <c r="G193" s="54"/>
      <c r="H193" s="54"/>
      <c r="I193" s="199"/>
      <c r="J193" s="199"/>
      <c r="K193" s="199"/>
      <c r="L193" s="199"/>
      <c r="M193" s="133"/>
      <c r="N193" s="133"/>
      <c r="O193" s="133"/>
      <c r="P193" s="133"/>
      <c r="Q193" s="133"/>
    </row>
    <row r="194" spans="1:17" s="4" customFormat="1" ht="18.75" customHeight="1">
      <c r="A194" s="38"/>
      <c r="B194" s="54"/>
      <c r="C194" s="1406" t="s">
        <v>75</v>
      </c>
      <c r="D194" s="1406"/>
      <c r="E194" s="1406"/>
      <c r="F194" s="1406"/>
      <c r="G194" s="1406"/>
      <c r="H194" s="1406"/>
      <c r="I194" s="823"/>
      <c r="J194" s="823"/>
      <c r="K194" s="823"/>
      <c r="L194" s="823"/>
      <c r="M194" s="48"/>
      <c r="N194" s="858"/>
      <c r="O194" s="858"/>
      <c r="P194" s="858"/>
      <c r="Q194" s="858"/>
    </row>
    <row r="195" spans="1:17" s="4" customFormat="1" ht="12" customHeight="1" thickBot="1">
      <c r="A195" s="38"/>
      <c r="B195" s="35"/>
      <c r="C195" s="35"/>
      <c r="D195" s="35"/>
      <c r="E195" s="35"/>
      <c r="F195" s="55"/>
      <c r="G195" s="1189"/>
      <c r="H195" s="48"/>
      <c r="I195" s="48"/>
      <c r="J195" s="48"/>
      <c r="K195" s="48"/>
      <c r="L195" s="48"/>
      <c r="M195" s="48"/>
      <c r="N195" s="858"/>
      <c r="O195" s="858"/>
      <c r="P195" s="858"/>
      <c r="Q195" s="858"/>
    </row>
    <row r="196" spans="1:17" s="4" customFormat="1" ht="57" customHeight="1" thickBot="1">
      <c r="A196" s="57"/>
      <c r="B196" s="57"/>
      <c r="C196" s="1407" t="s">
        <v>76</v>
      </c>
      <c r="D196" s="1408"/>
      <c r="E196" s="1408"/>
      <c r="F196" s="1408"/>
      <c r="G196" s="1408"/>
      <c r="H196" s="1409"/>
      <c r="I196" s="573" t="s">
        <v>272</v>
      </c>
      <c r="J196" s="573" t="s">
        <v>229</v>
      </c>
      <c r="K196" s="573" t="s">
        <v>161</v>
      </c>
      <c r="L196" s="573" t="s">
        <v>230</v>
      </c>
      <c r="M196" s="38"/>
      <c r="N196" s="56"/>
      <c r="O196" s="56"/>
      <c r="P196" s="56"/>
      <c r="Q196" s="56"/>
    </row>
    <row r="197" spans="1:17" s="4" customFormat="1" ht="12.75">
      <c r="A197" s="57"/>
      <c r="B197" s="57"/>
      <c r="C197" s="1410" t="s">
        <v>77</v>
      </c>
      <c r="D197" s="1773"/>
      <c r="E197" s="1411"/>
      <c r="F197" s="1411"/>
      <c r="G197" s="1412"/>
      <c r="H197" s="1412"/>
      <c r="I197" s="120">
        <f>I198+I206+I207+I208+I209</f>
        <v>14978.400000000001</v>
      </c>
      <c r="J197" s="120">
        <f>J198+J206+J207+J208+J209+J205</f>
        <v>15843.934000000001</v>
      </c>
      <c r="K197" s="120">
        <f t="shared" ref="K197" si="23">K198+K206+K207+K208+K209</f>
        <v>13586.000000000002</v>
      </c>
      <c r="L197" s="120">
        <f t="shared" ref="L197" si="24">L198+L206+L207+L208+L209</f>
        <v>14534.800000000001</v>
      </c>
      <c r="M197" s="133"/>
      <c r="N197" s="133"/>
      <c r="O197" s="133"/>
      <c r="P197" s="133"/>
      <c r="Q197" s="133"/>
    </row>
    <row r="198" spans="1:17" s="4" customFormat="1" ht="12.75" customHeight="1">
      <c r="A198" s="57"/>
      <c r="B198" s="57"/>
      <c r="C198" s="1413" t="s">
        <v>78</v>
      </c>
      <c r="D198" s="1414"/>
      <c r="E198" s="1414"/>
      <c r="F198" s="1414"/>
      <c r="G198" s="1414"/>
      <c r="H198" s="1415"/>
      <c r="I198" s="121">
        <f>SUM(I199:I205)</f>
        <v>14341.500000000002</v>
      </c>
      <c r="J198" s="121">
        <f>SUM(J199:J204)</f>
        <v>15442.834000000001</v>
      </c>
      <c r="K198" s="121">
        <f t="shared" ref="K198" si="25">SUM(K199:K205)</f>
        <v>13586.000000000002</v>
      </c>
      <c r="L198" s="121">
        <f t="shared" ref="L198" si="26">SUM(L199:L205)</f>
        <v>14534.800000000001</v>
      </c>
      <c r="M198" s="133"/>
      <c r="N198" s="133"/>
      <c r="O198" s="133"/>
      <c r="P198" s="133"/>
      <c r="Q198" s="133"/>
    </row>
    <row r="199" spans="1:17" s="4" customFormat="1" ht="12.75" customHeight="1">
      <c r="A199" s="57"/>
      <c r="B199" s="57"/>
      <c r="C199" s="1393" t="s">
        <v>79</v>
      </c>
      <c r="D199" s="1769"/>
      <c r="E199" s="1394"/>
      <c r="F199" s="1394"/>
      <c r="G199" s="1395"/>
      <c r="H199" s="1395"/>
      <c r="I199" s="122">
        <f>SUMIF(H13:H191,"SB",I13:I191)</f>
        <v>13573.600000000002</v>
      </c>
      <c r="J199" s="122">
        <f>SUMIF(H13:H191,"SB",J13:J191)</f>
        <v>14651.734</v>
      </c>
      <c r="K199" s="122">
        <f>SUMIF(H13:H191,"SB",K13:K191)</f>
        <v>12804.900000000001</v>
      </c>
      <c r="L199" s="122">
        <f>SUMIF(H13:H191,"SB",L13:L191)</f>
        <v>13753.7</v>
      </c>
      <c r="M199" s="38"/>
      <c r="N199" s="56"/>
      <c r="O199" s="56"/>
      <c r="P199" s="56"/>
      <c r="Q199" s="56"/>
    </row>
    <row r="200" spans="1:17" s="4" customFormat="1" ht="12.75" customHeight="1">
      <c r="A200" s="57"/>
      <c r="B200" s="57"/>
      <c r="C200" s="1403" t="s">
        <v>80</v>
      </c>
      <c r="D200" s="1416"/>
      <c r="E200" s="1416"/>
      <c r="F200" s="1416"/>
      <c r="G200" s="1416"/>
      <c r="H200" s="1417"/>
      <c r="I200" s="122">
        <f>SUMIF(H13:H191,"SB(VR)",I13:I191)</f>
        <v>10</v>
      </c>
      <c r="J200" s="122">
        <f>SUMIF(H13:H191,"SB(VR)",J13:J191)</f>
        <v>10</v>
      </c>
      <c r="K200" s="122">
        <f>SUMIF(H13:H191,"SB(VR)",K13:K191)</f>
        <v>0</v>
      </c>
      <c r="L200" s="122">
        <f>SUMIF(H13:H191,"SB(VR)",L13:L191)</f>
        <v>0</v>
      </c>
      <c r="M200" s="38"/>
      <c r="N200" s="56"/>
      <c r="O200" s="56"/>
      <c r="P200" s="56"/>
      <c r="Q200" s="56"/>
    </row>
    <row r="201" spans="1:17" s="4" customFormat="1" ht="12.75" customHeight="1">
      <c r="A201" s="57"/>
      <c r="B201" s="57"/>
      <c r="C201" s="1396" t="s">
        <v>81</v>
      </c>
      <c r="D201" s="1397"/>
      <c r="E201" s="1397"/>
      <c r="F201" s="1397"/>
      <c r="G201" s="1397"/>
      <c r="H201" s="1398"/>
      <c r="I201" s="122">
        <f>SUMIF(H12:H191,"SB(VB)",I12:I191)</f>
        <v>587.90000000000009</v>
      </c>
      <c r="J201" s="122">
        <f>SUMIF(H12:H191,"SB(VB)",J12:J191)</f>
        <v>581.1</v>
      </c>
      <c r="K201" s="122">
        <f>SUMIF(H12:H191,"SB(VB)",K12:K191)</f>
        <v>581.1</v>
      </c>
      <c r="L201" s="122">
        <f>SUMIF(H12:H191,"SB(VB)",L12:L191)</f>
        <v>581.1</v>
      </c>
      <c r="M201" s="1359"/>
      <c r="N201" s="56"/>
      <c r="O201" s="56"/>
      <c r="P201" s="56"/>
      <c r="Q201" s="56"/>
    </row>
    <row r="202" spans="1:17" s="4" customFormat="1" ht="12.75" customHeight="1">
      <c r="A202" s="57"/>
      <c r="B202" s="57"/>
      <c r="C202" s="1396" t="s">
        <v>82</v>
      </c>
      <c r="D202" s="1397"/>
      <c r="E202" s="1397"/>
      <c r="F202" s="1397"/>
      <c r="G202" s="1397"/>
      <c r="H202" s="1398"/>
      <c r="I202" s="122">
        <f>SUMIF(H12:H191,"SB(P)",I12:I191)</f>
        <v>0</v>
      </c>
      <c r="J202" s="122">
        <f>SUMIF(H12:H191,"SB(P)",J12:J191)</f>
        <v>0</v>
      </c>
      <c r="K202" s="122">
        <f>SUMIF(H12:H191,"SB(P)",K12:K191)</f>
        <v>0</v>
      </c>
      <c r="L202" s="122">
        <f>SUMIF(H12:H191,"SB(P)",L12:L191)</f>
        <v>0</v>
      </c>
      <c r="M202" s="1333"/>
      <c r="N202" s="858"/>
      <c r="O202" s="858"/>
      <c r="P202" s="858"/>
      <c r="Q202" s="858"/>
    </row>
    <row r="203" spans="1:17" s="1" customFormat="1" ht="12.75" customHeight="1">
      <c r="A203" s="57"/>
      <c r="B203" s="57"/>
      <c r="C203" s="1399" t="s">
        <v>83</v>
      </c>
      <c r="D203" s="1770"/>
      <c r="E203" s="1400"/>
      <c r="F203" s="1400"/>
      <c r="G203" s="1401"/>
      <c r="H203" s="1401"/>
      <c r="I203" s="730">
        <f>SUMIF(H13:H191,"SB(SP)",I13:I191)</f>
        <v>150</v>
      </c>
      <c r="J203" s="730">
        <f>SUMIF(H13:H191,"SB(SP)",J13:J191)</f>
        <v>200</v>
      </c>
      <c r="K203" s="730">
        <f>SUMIF(H13:H191,"SB(SP)",K13:K191)</f>
        <v>200</v>
      </c>
      <c r="L203" s="122">
        <f>SUMIF(H13:H191,"SB(SP)",L13:L191)</f>
        <v>200</v>
      </c>
      <c r="M203" s="241"/>
      <c r="N203" s="58"/>
      <c r="O203" s="58"/>
      <c r="P203" s="58"/>
      <c r="Q203" s="58"/>
    </row>
    <row r="204" spans="1:17" s="1" customFormat="1" ht="12.75" customHeight="1">
      <c r="A204" s="57"/>
      <c r="B204" s="57"/>
      <c r="C204" s="1390" t="s">
        <v>215</v>
      </c>
      <c r="D204" s="1402"/>
      <c r="E204" s="1402"/>
      <c r="F204" s="1402"/>
      <c r="G204" s="1402"/>
      <c r="H204" s="1402"/>
      <c r="I204" s="75">
        <f>SUMIF(H4:H174,"SB(ES)",I4:I174)</f>
        <v>0</v>
      </c>
      <c r="J204" s="75">
        <f>SUMIF(H5:H174,"SB(ES)",J5:J174)</f>
        <v>0</v>
      </c>
      <c r="K204" s="75">
        <f>SUMIF(H5:H174,"SB(ES)",K5:K174)</f>
        <v>0</v>
      </c>
      <c r="L204" s="75">
        <f>SUMIF(H5:H174,"SB(ES)",L5:L174)</f>
        <v>0</v>
      </c>
      <c r="M204" s="57"/>
      <c r="N204" s="58"/>
      <c r="O204" s="58"/>
      <c r="P204" s="58"/>
      <c r="Q204" s="58"/>
    </row>
    <row r="205" spans="1:17" s="1" customFormat="1" ht="29.25" customHeight="1">
      <c r="A205" s="57"/>
      <c r="B205" s="57"/>
      <c r="C205" s="1403" t="s">
        <v>200</v>
      </c>
      <c r="D205" s="1771"/>
      <c r="E205" s="1771"/>
      <c r="F205" s="1771"/>
      <c r="G205" s="1771"/>
      <c r="H205" s="1772"/>
      <c r="I205" s="730">
        <f>SUMIF(H5:H175,"SB(KPP)",I5:I175)</f>
        <v>20</v>
      </c>
      <c r="J205" s="730">
        <f>SUMIF(H6:H175,"SB(KPP)",J6:J175)</f>
        <v>20</v>
      </c>
      <c r="K205" s="730">
        <f>SUMIF(H6:H175,"SB(KPP)",K6:K175)</f>
        <v>0</v>
      </c>
      <c r="L205" s="730">
        <f>SUMIF(H6:H175,"SB(KPP)",L6:L175)</f>
        <v>0</v>
      </c>
      <c r="M205" s="57"/>
      <c r="N205" s="58"/>
      <c r="O205" s="58"/>
      <c r="P205" s="58"/>
      <c r="Q205" s="58"/>
    </row>
    <row r="206" spans="1:17" s="1" customFormat="1" ht="12.75" customHeight="1">
      <c r="A206" s="57"/>
      <c r="B206" s="57"/>
      <c r="C206" s="1384" t="s">
        <v>84</v>
      </c>
      <c r="D206" s="1766"/>
      <c r="E206" s="1385"/>
      <c r="F206" s="1385"/>
      <c r="G206" s="1386"/>
      <c r="H206" s="1386"/>
      <c r="I206" s="74">
        <f>SUMIF(H14:H194,"SB(L)",I14:I194)</f>
        <v>456.1</v>
      </c>
      <c r="J206" s="74">
        <f>SUMIF(H19:H194,"SB(L)",J19:J194)</f>
        <v>180.20000000000002</v>
      </c>
      <c r="K206" s="74">
        <f>SUMIF(H19:H189,"SB(L)",K19:K189)</f>
        <v>0</v>
      </c>
      <c r="L206" s="74">
        <f>SUMIF(H19:H189,"SB(L)",L19:L189)</f>
        <v>0</v>
      </c>
      <c r="M206" s="57"/>
      <c r="N206" s="58"/>
      <c r="O206" s="58"/>
      <c r="P206" s="58"/>
      <c r="Q206" s="58"/>
    </row>
    <row r="207" spans="1:17" s="1" customFormat="1" ht="12.75" customHeight="1">
      <c r="A207" s="57"/>
      <c r="B207" s="57"/>
      <c r="C207" s="1384" t="s">
        <v>85</v>
      </c>
      <c r="D207" s="1766"/>
      <c r="E207" s="1385"/>
      <c r="F207" s="1385"/>
      <c r="G207" s="1386"/>
      <c r="H207" s="1386"/>
      <c r="I207" s="74">
        <f>SUMIF(H14:H191,"SB(SPL)",I14:I191)</f>
        <v>158.5</v>
      </c>
      <c r="J207" s="74">
        <f>SUMIF(H14:H191,"SB(SPL)",J14:J191)</f>
        <v>172.6</v>
      </c>
      <c r="K207" s="74">
        <f>SUMIF(H14:H191,"SB(SPL)",K14:K191)</f>
        <v>0</v>
      </c>
      <c r="L207" s="74">
        <f>SUMIF(H14:H191,"SB(SPL)",L14:L191)</f>
        <v>0</v>
      </c>
      <c r="M207" s="57"/>
      <c r="N207" s="58"/>
      <c r="O207" s="58"/>
      <c r="P207" s="58"/>
      <c r="Q207" s="58"/>
    </row>
    <row r="208" spans="1:17" s="1" customFormat="1" ht="12.75" customHeight="1">
      <c r="A208" s="57"/>
      <c r="B208" s="57"/>
      <c r="C208" s="1384" t="s">
        <v>86</v>
      </c>
      <c r="D208" s="1766"/>
      <c r="E208" s="1385"/>
      <c r="F208" s="1385"/>
      <c r="G208" s="1386"/>
      <c r="H208" s="1386"/>
      <c r="I208" s="74">
        <f>SUMIF(H14:H191,"SB(VRL)",I14:I191)</f>
        <v>22.299999999999997</v>
      </c>
      <c r="J208" s="74">
        <f>SUMIF(H14:H191,"SB(VRL)",J14:J191)</f>
        <v>28.3</v>
      </c>
      <c r="K208" s="74">
        <f>SUMIF(H14:H191,"SB(VRL)",K14:K191)</f>
        <v>0</v>
      </c>
      <c r="L208" s="74">
        <f>SUMIF(H14:H191,"SB(VRL)",L14:L191)</f>
        <v>0</v>
      </c>
      <c r="M208" s="57"/>
      <c r="N208" s="58"/>
      <c r="O208" s="58"/>
      <c r="P208" s="58"/>
      <c r="Q208" s="58"/>
    </row>
    <row r="209" spans="1:17" s="1" customFormat="1" ht="13.5" customHeight="1">
      <c r="A209" s="57"/>
      <c r="B209" s="57"/>
      <c r="C209" s="1384" t="s">
        <v>92</v>
      </c>
      <c r="D209" s="1766"/>
      <c r="E209" s="1385"/>
      <c r="F209" s="1385"/>
      <c r="G209" s="1386"/>
      <c r="H209" s="1386"/>
      <c r="I209" s="74">
        <f>SUMIF(H14:H191,"SB(ŽPL)",I14:I191)</f>
        <v>0</v>
      </c>
      <c r="J209" s="74">
        <f>SUMIF(H16:H191,"SB(ŽPL)",J16:J191)</f>
        <v>0</v>
      </c>
      <c r="K209" s="74">
        <f>SUMIF(H16:H191,"SB(ŽPL)",K16:K191)</f>
        <v>0</v>
      </c>
      <c r="L209" s="74">
        <f>SUMIF(H16:H191,"SB(ŽPL)",L16:L191)</f>
        <v>0</v>
      </c>
      <c r="M209" s="57"/>
      <c r="N209" s="58"/>
      <c r="O209" s="58"/>
      <c r="P209" s="58"/>
      <c r="Q209" s="58"/>
    </row>
    <row r="210" spans="1:17" s="1" customFormat="1" ht="12.75" customHeight="1">
      <c r="A210" s="260"/>
      <c r="B210" s="260"/>
      <c r="C210" s="1387" t="s">
        <v>87</v>
      </c>
      <c r="D210" s="1767"/>
      <c r="E210" s="1388"/>
      <c r="F210" s="1388"/>
      <c r="G210" s="1768"/>
      <c r="H210" s="1389"/>
      <c r="I210" s="76">
        <f>I212+I211</f>
        <v>165</v>
      </c>
      <c r="J210" s="76">
        <f>J212+J211</f>
        <v>165</v>
      </c>
      <c r="K210" s="76">
        <f>K212+K211</f>
        <v>168.4</v>
      </c>
      <c r="L210" s="76">
        <f>L212+L211</f>
        <v>113.8</v>
      </c>
      <c r="M210" s="57"/>
      <c r="N210" s="58"/>
      <c r="O210" s="58"/>
      <c r="P210" s="58"/>
      <c r="Q210" s="58"/>
    </row>
    <row r="211" spans="1:17" s="48" customFormat="1">
      <c r="A211" s="417"/>
      <c r="B211" s="365"/>
      <c r="C211" s="1390" t="s">
        <v>141</v>
      </c>
      <c r="D211" s="1629"/>
      <c r="E211" s="1629"/>
      <c r="F211" s="1629"/>
      <c r="G211" s="1629"/>
      <c r="H211" s="1630"/>
      <c r="I211" s="122">
        <f>SUMIF(H4:H191,"ES",I4:I191)</f>
        <v>165</v>
      </c>
      <c r="J211" s="122">
        <f>SUMIF(H72:H191,"ES",J72:J191)</f>
        <v>165</v>
      </c>
      <c r="K211" s="122">
        <f>SUMIF(H72:H190,"ES",K72:K190)</f>
        <v>168.4</v>
      </c>
      <c r="L211" s="122">
        <f>SUMIF(H72:H190,"ES",L72:L190)</f>
        <v>113.8</v>
      </c>
      <c r="M211" s="260"/>
      <c r="N211" s="57"/>
      <c r="O211" s="57"/>
      <c r="P211" s="57"/>
      <c r="Q211" s="57"/>
    </row>
    <row r="212" spans="1:17" s="1" customFormat="1" ht="16.5" customHeight="1">
      <c r="A212" s="260"/>
      <c r="B212" s="260"/>
      <c r="C212" s="1393" t="s">
        <v>88</v>
      </c>
      <c r="D212" s="1769"/>
      <c r="E212" s="1394"/>
      <c r="F212" s="1394"/>
      <c r="G212" s="1395"/>
      <c r="H212" s="1395"/>
      <c r="I212" s="122">
        <f>SUMIF(H13:H191,"LRVB",I13:I191)</f>
        <v>0</v>
      </c>
      <c r="J212" s="122">
        <f>SUMIF(H13:H191,"LRVB",J13:J191)</f>
        <v>0</v>
      </c>
      <c r="K212" s="122">
        <f>SUMIF(H13:H191,"LRVB",K13:K191)</f>
        <v>0</v>
      </c>
      <c r="L212" s="122">
        <f>SUMIF(H13:H191,"LRVB",L13:L191)</f>
        <v>0</v>
      </c>
      <c r="M212" s="57"/>
      <c r="N212" s="58"/>
      <c r="O212" s="58"/>
      <c r="P212" s="58"/>
      <c r="Q212" s="58"/>
    </row>
    <row r="213" spans="1:17" s="1" customFormat="1" ht="13.5" customHeight="1" thickBot="1">
      <c r="A213" s="260"/>
      <c r="B213" s="260"/>
      <c r="C213" s="1371" t="s">
        <v>89</v>
      </c>
      <c r="D213" s="1372"/>
      <c r="E213" s="1372"/>
      <c r="F213" s="1372"/>
      <c r="G213" s="1372"/>
      <c r="H213" s="1373"/>
      <c r="I213" s="123">
        <f>I210+I197</f>
        <v>15143.400000000001</v>
      </c>
      <c r="J213" s="123">
        <f>J210+J197</f>
        <v>16008.934000000001</v>
      </c>
      <c r="K213" s="123">
        <f>K210+K197</f>
        <v>13754.400000000001</v>
      </c>
      <c r="L213" s="123">
        <f>L210+L197</f>
        <v>14648.6</v>
      </c>
      <c r="M213" s="78"/>
      <c r="N213" s="58"/>
      <c r="O213" s="58"/>
      <c r="P213" s="58"/>
      <c r="Q213" s="58"/>
    </row>
    <row r="214" spans="1:17" s="60" customFormat="1" ht="11.25">
      <c r="A214" s="59"/>
      <c r="B214" s="59"/>
      <c r="C214" s="59"/>
      <c r="D214" s="59"/>
      <c r="E214" s="59"/>
      <c r="F214" s="59"/>
      <c r="G214" s="59"/>
      <c r="H214" s="59"/>
      <c r="I214" s="67"/>
      <c r="J214" s="67"/>
      <c r="K214" s="67"/>
      <c r="L214" s="67"/>
      <c r="M214" s="82"/>
      <c r="N214" s="59"/>
      <c r="O214" s="59"/>
      <c r="P214" s="59"/>
      <c r="Q214" s="59"/>
    </row>
    <row r="215" spans="1:17" s="60" customFormat="1" ht="12.75">
      <c r="A215" s="59"/>
      <c r="B215" s="59"/>
      <c r="C215" s="59"/>
      <c r="D215" s="59"/>
      <c r="E215" s="57"/>
      <c r="F215" s="61"/>
      <c r="G215" s="59"/>
      <c r="H215" s="59"/>
      <c r="I215" s="82"/>
      <c r="J215" s="82"/>
      <c r="K215" s="82"/>
      <c r="L215" s="82"/>
      <c r="M215" s="82"/>
      <c r="N215" s="62"/>
      <c r="O215" s="62"/>
      <c r="P215" s="62"/>
      <c r="Q215" s="62"/>
    </row>
    <row r="216" spans="1:17" s="60" customFormat="1" ht="12.75">
      <c r="A216" s="59"/>
      <c r="B216" s="59"/>
      <c r="C216" s="59"/>
      <c r="D216" s="59"/>
      <c r="E216" s="57"/>
      <c r="F216" s="61"/>
      <c r="G216" s="59"/>
      <c r="H216" s="59"/>
      <c r="I216" s="59"/>
      <c r="J216" s="59"/>
      <c r="K216" s="59"/>
      <c r="L216" s="59"/>
      <c r="M216" s="59"/>
      <c r="N216" s="62"/>
      <c r="O216" s="62"/>
      <c r="P216" s="62"/>
      <c r="Q216" s="62"/>
    </row>
    <row r="217" spans="1:17">
      <c r="I217" s="80"/>
      <c r="J217" s="80"/>
      <c r="K217" s="80"/>
      <c r="L217" s="80"/>
    </row>
    <row r="218" spans="1:17">
      <c r="I218" s="80"/>
      <c r="J218" s="80"/>
      <c r="K218" s="80"/>
      <c r="L218" s="80"/>
    </row>
    <row r="219" spans="1:17">
      <c r="I219" s="136"/>
      <c r="J219" s="136"/>
      <c r="K219" s="136"/>
      <c r="L219" s="136"/>
    </row>
  </sheetData>
  <mergeCells count="222">
    <mergeCell ref="D130:D131"/>
    <mergeCell ref="E130:E131"/>
    <mergeCell ref="A136:A138"/>
    <mergeCell ref="B136:B138"/>
    <mergeCell ref="G136:G138"/>
    <mergeCell ref="G40:G42"/>
    <mergeCell ref="P59:P61"/>
    <mergeCell ref="P66:P70"/>
    <mergeCell ref="M190:Q190"/>
    <mergeCell ref="C169:Q169"/>
    <mergeCell ref="E174:E175"/>
    <mergeCell ref="C157:C167"/>
    <mergeCell ref="E157:E159"/>
    <mergeCell ref="E160:E161"/>
    <mergeCell ref="E171:E173"/>
    <mergeCell ref="F165:F166"/>
    <mergeCell ref="G165:G166"/>
    <mergeCell ref="M165:M166"/>
    <mergeCell ref="G160:G161"/>
    <mergeCell ref="L162:L163"/>
    <mergeCell ref="H162:H163"/>
    <mergeCell ref="I162:I163"/>
    <mergeCell ref="M187:M188"/>
    <mergeCell ref="J162:J163"/>
    <mergeCell ref="B191:H191"/>
    <mergeCell ref="M191:Q191"/>
    <mergeCell ref="C194:H194"/>
    <mergeCell ref="A186:A188"/>
    <mergeCell ref="B186:B188"/>
    <mergeCell ref="C186:C188"/>
    <mergeCell ref="E186:E188"/>
    <mergeCell ref="F186:F188"/>
    <mergeCell ref="G186:G188"/>
    <mergeCell ref="M189:Q189"/>
    <mergeCell ref="B190:H190"/>
    <mergeCell ref="K162:K163"/>
    <mergeCell ref="E151:E152"/>
    <mergeCell ref="G171:G184"/>
    <mergeCell ref="M180:M181"/>
    <mergeCell ref="C213:H213"/>
    <mergeCell ref="C204:H204"/>
    <mergeCell ref="C206:H206"/>
    <mergeCell ref="C207:H207"/>
    <mergeCell ref="C208:H208"/>
    <mergeCell ref="C209:H209"/>
    <mergeCell ref="C210:H210"/>
    <mergeCell ref="C199:H199"/>
    <mergeCell ref="C200:H200"/>
    <mergeCell ref="C201:H201"/>
    <mergeCell ref="C202:H202"/>
    <mergeCell ref="C203:H203"/>
    <mergeCell ref="C212:H212"/>
    <mergeCell ref="C211:H211"/>
    <mergeCell ref="C205:H205"/>
    <mergeCell ref="C196:H196"/>
    <mergeCell ref="C197:H197"/>
    <mergeCell ref="C189:H189"/>
    <mergeCell ref="C198:H198"/>
    <mergeCell ref="A192:K192"/>
    <mergeCell ref="C136:C138"/>
    <mergeCell ref="D136:D138"/>
    <mergeCell ref="E136:E137"/>
    <mergeCell ref="G133:G135"/>
    <mergeCell ref="A157:A167"/>
    <mergeCell ref="B157:B167"/>
    <mergeCell ref="E165:E166"/>
    <mergeCell ref="C168:H168"/>
    <mergeCell ref="F158:F159"/>
    <mergeCell ref="E162:E163"/>
    <mergeCell ref="F162:F163"/>
    <mergeCell ref="G162:G163"/>
    <mergeCell ref="A133:A135"/>
    <mergeCell ref="B133:B135"/>
    <mergeCell ref="C133:C135"/>
    <mergeCell ref="D133:D135"/>
    <mergeCell ref="E133:E135"/>
    <mergeCell ref="E113:E114"/>
    <mergeCell ref="G91:G92"/>
    <mergeCell ref="E97:E98"/>
    <mergeCell ref="D128:D129"/>
    <mergeCell ref="E128:E129"/>
    <mergeCell ref="G128:G129"/>
    <mergeCell ref="M97:M98"/>
    <mergeCell ref="M94:M96"/>
    <mergeCell ref="G94:G96"/>
    <mergeCell ref="E99:E107"/>
    <mergeCell ref="E94:E96"/>
    <mergeCell ref="E110:E111"/>
    <mergeCell ref="G110:G111"/>
    <mergeCell ref="E116:E117"/>
    <mergeCell ref="M116:M117"/>
    <mergeCell ref="G118:G121"/>
    <mergeCell ref="G108:G109"/>
    <mergeCell ref="D113:D114"/>
    <mergeCell ref="E108:E109"/>
    <mergeCell ref="A91:A92"/>
    <mergeCell ref="B91:B92"/>
    <mergeCell ref="C91:C92"/>
    <mergeCell ref="E91:E92"/>
    <mergeCell ref="F91:F92"/>
    <mergeCell ref="E82:E83"/>
    <mergeCell ref="A87:A90"/>
    <mergeCell ref="B87:B90"/>
    <mergeCell ref="C87:C90"/>
    <mergeCell ref="E87:E90"/>
    <mergeCell ref="F87:F90"/>
    <mergeCell ref="E84:E85"/>
    <mergeCell ref="G87:G90"/>
    <mergeCell ref="E74:E76"/>
    <mergeCell ref="E78:E81"/>
    <mergeCell ref="M74:M75"/>
    <mergeCell ref="G78:G79"/>
    <mergeCell ref="A71:A72"/>
    <mergeCell ref="B71:B72"/>
    <mergeCell ref="C71:C72"/>
    <mergeCell ref="E71:E72"/>
    <mergeCell ref="F71:F72"/>
    <mergeCell ref="M76:M77"/>
    <mergeCell ref="G74:G75"/>
    <mergeCell ref="G76:G77"/>
    <mergeCell ref="M59:M61"/>
    <mergeCell ref="O59:O61"/>
    <mergeCell ref="Q59:Q61"/>
    <mergeCell ref="G55:G56"/>
    <mergeCell ref="Q66:Q70"/>
    <mergeCell ref="A59:A61"/>
    <mergeCell ref="B59:B61"/>
    <mergeCell ref="C59:C61"/>
    <mergeCell ref="E59:E61"/>
    <mergeCell ref="F59:F61"/>
    <mergeCell ref="G59:G61"/>
    <mergeCell ref="G62:G63"/>
    <mergeCell ref="A66:A70"/>
    <mergeCell ref="B66:B70"/>
    <mergeCell ref="C66:C70"/>
    <mergeCell ref="E66:E70"/>
    <mergeCell ref="F66:F70"/>
    <mergeCell ref="G66:G68"/>
    <mergeCell ref="A62:A65"/>
    <mergeCell ref="B62:B65"/>
    <mergeCell ref="C62:C65"/>
    <mergeCell ref="F62:F65"/>
    <mergeCell ref="M66:M67"/>
    <mergeCell ref="E55:E56"/>
    <mergeCell ref="G47:G49"/>
    <mergeCell ref="E51:E52"/>
    <mergeCell ref="E53:E54"/>
    <mergeCell ref="G53:G54"/>
    <mergeCell ref="A47:A50"/>
    <mergeCell ref="B47:B50"/>
    <mergeCell ref="C47:C50"/>
    <mergeCell ref="E47:E50"/>
    <mergeCell ref="F47:F50"/>
    <mergeCell ref="K6:K8"/>
    <mergeCell ref="G36:G37"/>
    <mergeCell ref="M36:M37"/>
    <mergeCell ref="N36:N37"/>
    <mergeCell ref="A9:Q9"/>
    <mergeCell ref="A10:Q10"/>
    <mergeCell ref="B11:Q11"/>
    <mergeCell ref="C12:Q12"/>
    <mergeCell ref="E14:E16"/>
    <mergeCell ref="F14:F16"/>
    <mergeCell ref="G14:G19"/>
    <mergeCell ref="O36:O37"/>
    <mergeCell ref="Q36:Q37"/>
    <mergeCell ref="A20:A25"/>
    <mergeCell ref="B20:B25"/>
    <mergeCell ref="C20:C25"/>
    <mergeCell ref="E36:E38"/>
    <mergeCell ref="E20:E24"/>
    <mergeCell ref="P36:P37"/>
    <mergeCell ref="M34:M35"/>
    <mergeCell ref="M38:M39"/>
    <mergeCell ref="E45:E46"/>
    <mergeCell ref="F45:F46"/>
    <mergeCell ref="R125:R126"/>
    <mergeCell ref="M1:Q1"/>
    <mergeCell ref="E2:M2"/>
    <mergeCell ref="E3:M3"/>
    <mergeCell ref="A4:Q4"/>
    <mergeCell ref="M5:Q5"/>
    <mergeCell ref="A6:A8"/>
    <mergeCell ref="B6:B8"/>
    <mergeCell ref="C6:C8"/>
    <mergeCell ref="D6:D8"/>
    <mergeCell ref="E6:E8"/>
    <mergeCell ref="I6:I8"/>
    <mergeCell ref="J6:J8"/>
    <mergeCell ref="L6:L8"/>
    <mergeCell ref="M6:Q6"/>
    <mergeCell ref="M7:M8"/>
    <mergeCell ref="N7:Q7"/>
    <mergeCell ref="F6:F8"/>
    <mergeCell ref="M118:M119"/>
    <mergeCell ref="E118:E121"/>
    <mergeCell ref="G6:G8"/>
    <mergeCell ref="H6:H8"/>
    <mergeCell ref="R123:R124"/>
    <mergeCell ref="E182:E183"/>
    <mergeCell ref="M182:M183"/>
    <mergeCell ref="E180:E181"/>
    <mergeCell ref="G123:G125"/>
    <mergeCell ref="M123:M124"/>
    <mergeCell ref="G157:G158"/>
    <mergeCell ref="M136:M137"/>
    <mergeCell ref="C139:H139"/>
    <mergeCell ref="C140:Q140"/>
    <mergeCell ref="E141:E142"/>
    <mergeCell ref="F141:F146"/>
    <mergeCell ref="G141:G144"/>
    <mergeCell ref="D126:D127"/>
    <mergeCell ref="E126:E127"/>
    <mergeCell ref="G126:G127"/>
    <mergeCell ref="F133:F135"/>
    <mergeCell ref="G130:G131"/>
    <mergeCell ref="R157:R159"/>
    <mergeCell ref="C154:H154"/>
    <mergeCell ref="C155:Q155"/>
    <mergeCell ref="M149:M150"/>
    <mergeCell ref="E176:E179"/>
    <mergeCell ref="M171:M172"/>
  </mergeCells>
  <printOptions horizontalCentered="1"/>
  <pageMargins left="0.59055118110236227" right="0.39370078740157483" top="0.39370078740157483" bottom="0.39370078740157483" header="0" footer="0"/>
  <pageSetup paperSize="9" scale="58" orientation="portrait" r:id="rId1"/>
  <rowBreaks count="2" manualBreakCount="2">
    <brk id="63" max="16" man="1"/>
    <brk id="112"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Lyginamasis variantas</vt:lpstr>
      <vt:lpstr>3 programa</vt:lpstr>
      <vt:lpstr>aiškinamoji lentelė</vt:lpstr>
      <vt:lpstr>'3 programa'!Print_Area</vt:lpstr>
      <vt:lpstr>'aiškinamoji lentelė'!Print_Area</vt:lpstr>
      <vt:lpstr>'Lyginamasis variantas'!Print_Area</vt:lpstr>
      <vt:lpstr>'3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2020-01-31T08:40:00Z</cp:lastPrinted>
  <dcterms:created xsi:type="dcterms:W3CDTF">2015-10-15T13:35:41Z</dcterms:created>
  <dcterms:modified xsi:type="dcterms:W3CDTF">2020-02-04T13:29:14Z</dcterms:modified>
</cp:coreProperties>
</file>