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30pr1\"/>
    </mc:Choice>
  </mc:AlternateContent>
  <bookViews>
    <workbookView xWindow="-120" yWindow="-120" windowWidth="24240" windowHeight="13140"/>
  </bookViews>
  <sheets>
    <sheet name="7 programa" sheetId="20" r:id="rId1"/>
    <sheet name="aiškinamoji lentelė" sheetId="10" r:id="rId2"/>
    <sheet name="Lyginamasis variantas" sheetId="19" state="hidden" r:id="rId3"/>
  </sheets>
  <definedNames>
    <definedName name="_xlnm.Print_Area" localSheetId="0">'7 programa'!$A$1:$M$268</definedName>
    <definedName name="_xlnm.Print_Area" localSheetId="1">'aiškinamoji lentelė'!$A$1:$Q$293</definedName>
    <definedName name="_xlnm.Print_Area" localSheetId="2">'Lyginamasis variantas'!$A$1:$U$263</definedName>
    <definedName name="_xlnm.Print_Titles" localSheetId="0">'7 programa'!$10:$12</definedName>
    <definedName name="_xlnm.Print_Titles" localSheetId="1">'aiškinamoji lentelė'!$7:$9</definedName>
    <definedName name="_xlnm.Print_Titles" localSheetId="2">'Lyginamasis variantas'!$8:$10</definedName>
  </definedNames>
  <calcPr calcId="152511"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48" i="10" l="1"/>
  <c r="G190" i="20" l="1"/>
  <c r="G189" i="20"/>
  <c r="I135" i="10" l="1"/>
  <c r="G227" i="20" l="1"/>
  <c r="G237" i="20" l="1"/>
  <c r="G238" i="20" s="1"/>
  <c r="H237" i="20"/>
  <c r="H238" i="20" s="1"/>
  <c r="I237" i="20"/>
  <c r="I238" i="20" s="1"/>
  <c r="J192" i="10" l="1"/>
  <c r="G252" i="20" l="1"/>
  <c r="I248" i="20"/>
  <c r="I249" i="20"/>
  <c r="I251" i="20"/>
  <c r="I250" i="20"/>
  <c r="H251" i="20"/>
  <c r="G251" i="20"/>
  <c r="H249" i="20"/>
  <c r="G249" i="20"/>
  <c r="H248" i="20"/>
  <c r="G248" i="20"/>
  <c r="I247" i="20"/>
  <c r="H247" i="20"/>
  <c r="G247" i="20"/>
  <c r="G223" i="20"/>
  <c r="H223" i="20"/>
  <c r="I223" i="20"/>
  <c r="I212" i="20"/>
  <c r="H212" i="20"/>
  <c r="G212" i="20"/>
  <c r="G186" i="20"/>
  <c r="G187" i="20" s="1"/>
  <c r="I186" i="20"/>
  <c r="I187" i="20" s="1"/>
  <c r="H186" i="20"/>
  <c r="H187" i="20" s="1"/>
  <c r="G166" i="20"/>
  <c r="H166" i="20"/>
  <c r="I166" i="20"/>
  <c r="G135" i="20"/>
  <c r="H135" i="20"/>
  <c r="I135" i="20"/>
  <c r="G224" i="20" l="1"/>
  <c r="I224" i="20"/>
  <c r="H224" i="20"/>
  <c r="H117" i="20"/>
  <c r="H167" i="20" s="1"/>
  <c r="I117" i="20"/>
  <c r="I167" i="20" s="1"/>
  <c r="G117" i="20"/>
  <c r="G167" i="20" s="1"/>
  <c r="J154" i="10" l="1"/>
  <c r="K154" i="10"/>
  <c r="L154" i="10"/>
  <c r="I153" i="10"/>
  <c r="I154" i="10" s="1"/>
  <c r="I257" i="20" l="1"/>
  <c r="I256" i="20"/>
  <c r="I262" i="20"/>
  <c r="H262" i="20"/>
  <c r="G262" i="20"/>
  <c r="I261" i="20"/>
  <c r="H261" i="20"/>
  <c r="G261" i="20"/>
  <c r="I260" i="20"/>
  <c r="H260" i="20"/>
  <c r="G260" i="20"/>
  <c r="I259" i="20"/>
  <c r="H259" i="20"/>
  <c r="G259" i="20"/>
  <c r="H257" i="20"/>
  <c r="G257" i="20"/>
  <c r="H256" i="20"/>
  <c r="G256" i="20"/>
  <c r="I255" i="20"/>
  <c r="H255" i="20"/>
  <c r="G255" i="20"/>
  <c r="I254" i="20"/>
  <c r="H254" i="20"/>
  <c r="G254" i="20"/>
  <c r="I253" i="20"/>
  <c r="H253" i="20"/>
  <c r="G253" i="20"/>
  <c r="I252" i="20"/>
  <c r="H252" i="20"/>
  <c r="H250" i="20"/>
  <c r="G250" i="20"/>
  <c r="K229" i="20"/>
  <c r="I246" i="20" l="1"/>
  <c r="G258" i="20"/>
  <c r="H258" i="20"/>
  <c r="I258" i="20"/>
  <c r="G246" i="20"/>
  <c r="G245" i="20" s="1"/>
  <c r="H246" i="20"/>
  <c r="H245" i="20" s="1"/>
  <c r="I239" i="20" l="1"/>
  <c r="I240" i="20" s="1"/>
  <c r="H263" i="20"/>
  <c r="G263" i="20"/>
  <c r="G239" i="20"/>
  <c r="G240" i="20" s="1"/>
  <c r="H239" i="20"/>
  <c r="H240" i="20" s="1"/>
  <c r="I245" i="20" l="1"/>
  <c r="I263" i="20" s="1"/>
  <c r="J253" i="10" l="1"/>
  <c r="K253" i="10"/>
  <c r="L253" i="10"/>
  <c r="I253" i="10"/>
  <c r="J211" i="10"/>
  <c r="K192" i="10"/>
  <c r="L192" i="10"/>
  <c r="J267" i="10"/>
  <c r="K267" i="10"/>
  <c r="L267" i="10"/>
  <c r="J239" i="10"/>
  <c r="K239" i="10"/>
  <c r="L239" i="10"/>
  <c r="L254" i="10" l="1"/>
  <c r="K254" i="10"/>
  <c r="J254" i="10"/>
  <c r="K21" i="10" l="1"/>
  <c r="J21" i="10"/>
  <c r="I21" i="10"/>
  <c r="J22" i="10"/>
  <c r="K22" i="10"/>
  <c r="L22" i="10"/>
  <c r="I22" i="10"/>
  <c r="L20" i="10"/>
  <c r="K20" i="10"/>
  <c r="I20" i="10"/>
  <c r="J20" i="10"/>
  <c r="L19" i="10"/>
  <c r="K19" i="10"/>
  <c r="J19" i="10"/>
  <c r="I19" i="10"/>
  <c r="L18" i="10"/>
  <c r="K18" i="10"/>
  <c r="J18" i="10"/>
  <c r="I18" i="10"/>
  <c r="L17" i="10"/>
  <c r="K17" i="10"/>
  <c r="J17" i="10"/>
  <c r="L16" i="10"/>
  <c r="K16" i="10"/>
  <c r="J16" i="10"/>
  <c r="L15" i="10"/>
  <c r="K15" i="10"/>
  <c r="J15" i="10"/>
  <c r="L127" i="10"/>
  <c r="L21" i="10" s="1"/>
  <c r="I126" i="10"/>
  <c r="I123" i="10"/>
  <c r="L114" i="10"/>
  <c r="K114" i="10"/>
  <c r="I114" i="10"/>
  <c r="L14" i="10" l="1"/>
  <c r="L137" i="10"/>
  <c r="L193" i="10" s="1"/>
  <c r="I159" i="10"/>
  <c r="O259" i="10" l="1"/>
  <c r="K91" i="10" l="1"/>
  <c r="J91" i="10"/>
  <c r="I91" i="10"/>
  <c r="J137" i="10" l="1"/>
  <c r="J193" i="10" s="1"/>
  <c r="J14" i="10"/>
  <c r="I57" i="10"/>
  <c r="K137" i="10" l="1"/>
  <c r="K193" i="10" s="1"/>
  <c r="K14" i="10"/>
  <c r="L280" i="10"/>
  <c r="I280" i="10" l="1"/>
  <c r="J279" i="10"/>
  <c r="I279" i="10"/>
  <c r="K278" i="10"/>
  <c r="J278" i="10"/>
  <c r="L285" i="10"/>
  <c r="K285" i="10"/>
  <c r="J285" i="10"/>
  <c r="I285" i="10"/>
  <c r="L289" i="10"/>
  <c r="K289" i="10"/>
  <c r="J289" i="10"/>
  <c r="I289" i="10"/>
  <c r="L291" i="10"/>
  <c r="K291" i="10"/>
  <c r="J291" i="10"/>
  <c r="I291" i="10"/>
  <c r="L284" i="10"/>
  <c r="K284" i="10"/>
  <c r="J284" i="10"/>
  <c r="L283" i="10"/>
  <c r="K283" i="10"/>
  <c r="J283" i="10"/>
  <c r="I64" i="10" l="1"/>
  <c r="I14" i="10" l="1"/>
  <c r="I73" i="10"/>
  <c r="I68" i="10"/>
  <c r="I45" i="10" l="1"/>
  <c r="I43" i="10"/>
  <c r="I38" i="10"/>
  <c r="I36" i="10"/>
  <c r="I16" i="10" s="1"/>
  <c r="I34" i="10"/>
  <c r="I32" i="10"/>
  <c r="I17" i="10" s="1"/>
  <c r="I29" i="10"/>
  <c r="I51" i="10" l="1"/>
  <c r="J277" i="10" l="1"/>
  <c r="L199" i="10" l="1"/>
  <c r="L277" i="10" s="1"/>
  <c r="K199" i="10"/>
  <c r="L211" i="10" l="1"/>
  <c r="K211" i="10"/>
  <c r="K277" i="10"/>
  <c r="J268" i="10"/>
  <c r="K268" i="10"/>
  <c r="L268" i="10"/>
  <c r="J212" i="10" l="1"/>
  <c r="I236" i="10" l="1"/>
  <c r="K212" i="10" l="1"/>
  <c r="L212" i="10"/>
  <c r="I188" i="10" l="1"/>
  <c r="I104" i="10"/>
  <c r="I290" i="10" l="1"/>
  <c r="I287" i="10"/>
  <c r="I292" i="10"/>
  <c r="I286" i="10"/>
  <c r="I282" i="10"/>
  <c r="L228" i="19"/>
  <c r="M228" i="19" s="1"/>
  <c r="I288" i="10" l="1"/>
  <c r="I258" i="10"/>
  <c r="I267" i="10" s="1"/>
  <c r="M161" i="19"/>
  <c r="M160" i="19"/>
  <c r="J161" i="19"/>
  <c r="J160" i="19"/>
  <c r="M155" i="19"/>
  <c r="M154" i="19"/>
  <c r="J155" i="19"/>
  <c r="J154" i="19"/>
  <c r="I268" i="10" l="1"/>
  <c r="M152" i="19"/>
  <c r="M151" i="19"/>
  <c r="J152" i="19"/>
  <c r="J151" i="19"/>
  <c r="J224" i="19" l="1"/>
  <c r="J225" i="19" s="1"/>
  <c r="J135" i="19"/>
  <c r="I135" i="19"/>
  <c r="I228" i="19" l="1"/>
  <c r="J228" i="19" s="1"/>
  <c r="I215" i="10"/>
  <c r="I239" i="10" s="1"/>
  <c r="I254" i="10" s="1"/>
  <c r="J199" i="19"/>
  <c r="J198" i="19"/>
  <c r="J122" i="19"/>
  <c r="P91" i="19"/>
  <c r="P88" i="19"/>
  <c r="M88" i="19"/>
  <c r="J74" i="19" l="1"/>
  <c r="M65" i="19"/>
  <c r="M76" i="19"/>
  <c r="L76" i="19"/>
  <c r="M74" i="19"/>
  <c r="J50" i="19"/>
  <c r="J48" i="19"/>
  <c r="I137" i="10"/>
  <c r="M46" i="19"/>
  <c r="J47" i="19"/>
  <c r="J46" i="19"/>
  <c r="I15" i="10" l="1"/>
  <c r="K292" i="10" l="1"/>
  <c r="K290" i="10"/>
  <c r="K287" i="10"/>
  <c r="K286" i="10"/>
  <c r="K282" i="10"/>
  <c r="K281" i="10"/>
  <c r="K280" i="10"/>
  <c r="K279" i="10"/>
  <c r="I61" i="19"/>
  <c r="K276" i="10" l="1"/>
  <c r="K275" i="10" s="1"/>
  <c r="K288" i="10"/>
  <c r="K77" i="19"/>
  <c r="L77" i="19"/>
  <c r="H77" i="19"/>
  <c r="I77" i="19"/>
  <c r="K196" i="19"/>
  <c r="L196" i="19"/>
  <c r="I216" i="19"/>
  <c r="I225" i="19" s="1"/>
  <c r="K269" i="10" l="1"/>
  <c r="K270" i="10" s="1"/>
  <c r="K293" i="10"/>
  <c r="I113" i="19" l="1"/>
  <c r="L290" i="10" l="1"/>
  <c r="J290" i="10"/>
  <c r="O171" i="19"/>
  <c r="L171" i="19"/>
  <c r="I171" i="19" l="1"/>
  <c r="H171" i="19" l="1"/>
  <c r="N171" i="19" l="1"/>
  <c r="K171" i="19"/>
  <c r="M171" i="19" l="1"/>
  <c r="J171" i="19"/>
  <c r="P171" i="19" l="1"/>
  <c r="H114" i="19"/>
  <c r="I114" i="19"/>
  <c r="I15" i="19"/>
  <c r="H15" i="19"/>
  <c r="I134" i="19" l="1"/>
  <c r="I60" i="19" l="1"/>
  <c r="I160" i="10" l="1"/>
  <c r="I192" i="10" s="1"/>
  <c r="I193" i="10" s="1"/>
  <c r="P258" i="19" l="1"/>
  <c r="P260" i="19"/>
  <c r="P261" i="19"/>
  <c r="P252" i="19"/>
  <c r="P250" i="19"/>
  <c r="O261" i="19"/>
  <c r="N261" i="19"/>
  <c r="O260" i="19"/>
  <c r="N260" i="19"/>
  <c r="O259" i="19"/>
  <c r="N259" i="19"/>
  <c r="O258" i="19"/>
  <c r="N258" i="19"/>
  <c r="N256" i="19"/>
  <c r="N253" i="19"/>
  <c r="O256" i="19"/>
  <c r="O255" i="19"/>
  <c r="N255" i="19"/>
  <c r="O254" i="19"/>
  <c r="N254" i="19"/>
  <c r="O253" i="19"/>
  <c r="O252" i="19"/>
  <c r="N252" i="19"/>
  <c r="O251" i="19"/>
  <c r="N251" i="19"/>
  <c r="O250" i="19"/>
  <c r="N250" i="19"/>
  <c r="O249" i="19"/>
  <c r="N249" i="19"/>
  <c r="P247" i="19"/>
  <c r="O248" i="19"/>
  <c r="N248" i="19"/>
  <c r="O247" i="19"/>
  <c r="N247" i="19"/>
  <c r="L261" i="19"/>
  <c r="K261" i="19"/>
  <c r="L260" i="19"/>
  <c r="K260" i="19"/>
  <c r="L259" i="19"/>
  <c r="K259" i="19"/>
  <c r="L258" i="19"/>
  <c r="K258" i="19"/>
  <c r="M256" i="19"/>
  <c r="L256" i="19"/>
  <c r="K256" i="19"/>
  <c r="L255" i="19"/>
  <c r="K255" i="19"/>
  <c r="K254" i="19"/>
  <c r="L254" i="19"/>
  <c r="L253" i="19"/>
  <c r="K253" i="19"/>
  <c r="L252" i="19"/>
  <c r="K252" i="19"/>
  <c r="K251" i="19"/>
  <c r="L251" i="19"/>
  <c r="L250" i="19"/>
  <c r="K250" i="19"/>
  <c r="L249" i="19"/>
  <c r="K249" i="19"/>
  <c r="L248" i="19"/>
  <c r="K248" i="19"/>
  <c r="L247" i="19"/>
  <c r="K247" i="19"/>
  <c r="I261" i="19"/>
  <c r="H261" i="19"/>
  <c r="I260" i="19"/>
  <c r="H260" i="19"/>
  <c r="I259" i="19"/>
  <c r="H259" i="19"/>
  <c r="I258" i="19"/>
  <c r="H258" i="19"/>
  <c r="I256" i="19"/>
  <c r="H256" i="19"/>
  <c r="I255" i="19"/>
  <c r="H255" i="19"/>
  <c r="I254" i="19"/>
  <c r="H254" i="19"/>
  <c r="I252" i="19"/>
  <c r="H252" i="19"/>
  <c r="I251" i="19"/>
  <c r="H251" i="19"/>
  <c r="J250" i="19"/>
  <c r="I250" i="19"/>
  <c r="H250" i="19"/>
  <c r="I249" i="19"/>
  <c r="H249" i="19"/>
  <c r="I248" i="19"/>
  <c r="H248" i="19"/>
  <c r="I247" i="19"/>
  <c r="H247" i="19"/>
  <c r="O236" i="19"/>
  <c r="O233" i="19"/>
  <c r="O230" i="19"/>
  <c r="O225" i="19"/>
  <c r="O196" i="19"/>
  <c r="O215" i="19" s="1"/>
  <c r="O193" i="19"/>
  <c r="O194" i="19" s="1"/>
  <c r="O140" i="19"/>
  <c r="O137" i="19"/>
  <c r="O134" i="19"/>
  <c r="O113" i="19"/>
  <c r="O76" i="19"/>
  <c r="O15" i="19"/>
  <c r="O60" i="19" s="1"/>
  <c r="N236" i="19"/>
  <c r="N233" i="19"/>
  <c r="N230" i="19"/>
  <c r="N225" i="19"/>
  <c r="N196" i="19"/>
  <c r="N215" i="19" s="1"/>
  <c r="N193" i="19"/>
  <c r="N194" i="19" s="1"/>
  <c r="N140" i="19"/>
  <c r="N137" i="19"/>
  <c r="N134" i="19"/>
  <c r="N113" i="19"/>
  <c r="N76" i="19"/>
  <c r="N15" i="19"/>
  <c r="N60" i="19" s="1"/>
  <c r="L236" i="19"/>
  <c r="L233" i="19"/>
  <c r="L230" i="19"/>
  <c r="L225" i="19"/>
  <c r="L215" i="19"/>
  <c r="L193" i="19"/>
  <c r="L194" i="19" s="1"/>
  <c r="L175" i="19"/>
  <c r="L140" i="19"/>
  <c r="L137" i="19"/>
  <c r="L134" i="19"/>
  <c r="L113" i="19"/>
  <c r="L15" i="19"/>
  <c r="L246" i="19" s="1"/>
  <c r="K236" i="19"/>
  <c r="K233" i="19"/>
  <c r="K230" i="19"/>
  <c r="K225" i="19"/>
  <c r="K215" i="19"/>
  <c r="K193" i="19"/>
  <c r="K194" i="19" s="1"/>
  <c r="K175" i="19"/>
  <c r="K140" i="19"/>
  <c r="K137" i="19"/>
  <c r="K134" i="19"/>
  <c r="K113" i="19"/>
  <c r="K76" i="19"/>
  <c r="K15" i="19"/>
  <c r="K60" i="19" s="1"/>
  <c r="H236" i="19"/>
  <c r="H233" i="19"/>
  <c r="H229" i="19"/>
  <c r="H230" i="19" s="1"/>
  <c r="H225" i="19"/>
  <c r="H197" i="19"/>
  <c r="H193" i="19"/>
  <c r="H194" i="19" s="1"/>
  <c r="H175" i="19"/>
  <c r="H140" i="19"/>
  <c r="H137" i="19"/>
  <c r="H113" i="19"/>
  <c r="H76" i="19"/>
  <c r="H60" i="19"/>
  <c r="I246" i="19"/>
  <c r="I137" i="19"/>
  <c r="I140" i="19"/>
  <c r="I175" i="19"/>
  <c r="I193" i="19"/>
  <c r="I194" i="19" s="1"/>
  <c r="I197" i="19"/>
  <c r="I215" i="19" s="1"/>
  <c r="I229" i="19"/>
  <c r="I230" i="19" s="1"/>
  <c r="I233" i="19"/>
  <c r="I236" i="19"/>
  <c r="K176" i="19" l="1"/>
  <c r="N176" i="19"/>
  <c r="O176" i="19"/>
  <c r="H253" i="19"/>
  <c r="I237" i="19"/>
  <c r="L60" i="19"/>
  <c r="L176" i="19" s="1"/>
  <c r="H215" i="19"/>
  <c r="H226" i="19" s="1"/>
  <c r="N226" i="19"/>
  <c r="O246" i="19"/>
  <c r="O245" i="19" s="1"/>
  <c r="O244" i="19" s="1"/>
  <c r="H134" i="19"/>
  <c r="H176" i="19" s="1"/>
  <c r="K246" i="19"/>
  <c r="K245" i="19" s="1"/>
  <c r="K244" i="19" s="1"/>
  <c r="H246" i="19"/>
  <c r="H245" i="19" s="1"/>
  <c r="I226" i="19"/>
  <c r="I253" i="19"/>
  <c r="I76" i="19"/>
  <c r="I176" i="19" s="1"/>
  <c r="K226" i="19"/>
  <c r="L226" i="19"/>
  <c r="N237" i="19"/>
  <c r="O226" i="19"/>
  <c r="H237" i="19"/>
  <c r="K237" i="19"/>
  <c r="L237" i="19"/>
  <c r="O237" i="19"/>
  <c r="N246" i="19"/>
  <c r="N245" i="19" s="1"/>
  <c r="N244" i="19" s="1"/>
  <c r="O257" i="19"/>
  <c r="N257" i="19"/>
  <c r="L257" i="19"/>
  <c r="K257" i="19"/>
  <c r="L245" i="19"/>
  <c r="L244" i="19" s="1"/>
  <c r="I257" i="19"/>
  <c r="H257" i="19"/>
  <c r="I245" i="19"/>
  <c r="I238" i="19" l="1"/>
  <c r="I239" i="19" s="1"/>
  <c r="K238" i="19"/>
  <c r="K239" i="19" s="1"/>
  <c r="H244" i="19"/>
  <c r="H262" i="19" s="1"/>
  <c r="O238" i="19"/>
  <c r="O239" i="19" s="1"/>
  <c r="N262" i="19"/>
  <c r="L238" i="19"/>
  <c r="L239" i="19" s="1"/>
  <c r="H238" i="19"/>
  <c r="H239" i="19" s="1"/>
  <c r="K262" i="19"/>
  <c r="N238" i="19"/>
  <c r="N239" i="19" s="1"/>
  <c r="I244" i="19"/>
  <c r="I262" i="19" s="1"/>
  <c r="L262" i="19"/>
  <c r="O262" i="19"/>
  <c r="M261" i="19" l="1"/>
  <c r="J261" i="19"/>
  <c r="M260" i="19"/>
  <c r="J260" i="19"/>
  <c r="P259" i="19"/>
  <c r="M259" i="19"/>
  <c r="J259" i="19"/>
  <c r="M258" i="19"/>
  <c r="J258" i="19"/>
  <c r="J256" i="19"/>
  <c r="M255" i="19"/>
  <c r="J255" i="19"/>
  <c r="M254" i="19"/>
  <c r="J254" i="19"/>
  <c r="M253" i="19"/>
  <c r="M252" i="19"/>
  <c r="J252" i="19"/>
  <c r="P251" i="19"/>
  <c r="M251" i="19"/>
  <c r="J251" i="19"/>
  <c r="M250" i="19"/>
  <c r="P249" i="19"/>
  <c r="M249" i="19"/>
  <c r="J249" i="19"/>
  <c r="P248" i="19"/>
  <c r="M248" i="19"/>
  <c r="J248" i="19"/>
  <c r="M247" i="19"/>
  <c r="J247" i="19"/>
  <c r="P236" i="19"/>
  <c r="M236" i="19"/>
  <c r="J236" i="19"/>
  <c r="P233" i="19"/>
  <c r="M233" i="19"/>
  <c r="J233" i="19"/>
  <c r="P230" i="19"/>
  <c r="M230" i="19"/>
  <c r="J230" i="19"/>
  <c r="P225" i="19"/>
  <c r="M225" i="19"/>
  <c r="J215" i="19"/>
  <c r="P215" i="19"/>
  <c r="M215" i="19"/>
  <c r="P193" i="19"/>
  <c r="P194" i="19" s="1"/>
  <c r="M193" i="19"/>
  <c r="M194" i="19" s="1"/>
  <c r="J193" i="19"/>
  <c r="J194" i="19" s="1"/>
  <c r="M175" i="19"/>
  <c r="J175" i="19"/>
  <c r="P140" i="19"/>
  <c r="M140" i="19"/>
  <c r="J140" i="19"/>
  <c r="P137" i="19"/>
  <c r="M137" i="19"/>
  <c r="J137" i="19"/>
  <c r="P134" i="19"/>
  <c r="M134" i="19"/>
  <c r="J134" i="19"/>
  <c r="P113" i="19"/>
  <c r="M113" i="19"/>
  <c r="J113" i="19"/>
  <c r="P76" i="19"/>
  <c r="J76" i="19"/>
  <c r="J60" i="19"/>
  <c r="P246" i="19"/>
  <c r="M60" i="19"/>
  <c r="M176" i="19" l="1"/>
  <c r="J176" i="19"/>
  <c r="P257" i="19"/>
  <c r="J226" i="19"/>
  <c r="J257" i="19"/>
  <c r="M257" i="19"/>
  <c r="P245" i="19"/>
  <c r="P237" i="19"/>
  <c r="J237" i="19"/>
  <c r="P226" i="19"/>
  <c r="P60" i="19"/>
  <c r="P176" i="19" s="1"/>
  <c r="M237" i="19"/>
  <c r="M226" i="19"/>
  <c r="J246" i="19"/>
  <c r="J245" i="19" s="1"/>
  <c r="M246" i="19"/>
  <c r="M245" i="19" s="1"/>
  <c r="M244" i="19" s="1"/>
  <c r="J253" i="19"/>
  <c r="M262" i="19" l="1"/>
  <c r="J238" i="19"/>
  <c r="J239" i="19" s="1"/>
  <c r="P256" i="19" s="1"/>
  <c r="P238" i="19"/>
  <c r="P239" i="19" s="1"/>
  <c r="M238" i="19"/>
  <c r="M239" i="19" s="1"/>
  <c r="P253" i="19"/>
  <c r="J244" i="19"/>
  <c r="J262" i="19" s="1"/>
  <c r="P255" i="19" l="1"/>
  <c r="P254" i="19"/>
  <c r="P244" i="19" l="1"/>
  <c r="P262" i="19" s="1"/>
  <c r="I200" i="10" l="1"/>
  <c r="I211" i="10" s="1"/>
  <c r="I284" i="10" l="1"/>
  <c r="I277" i="10" l="1"/>
  <c r="I283" i="10" l="1"/>
  <c r="I281" i="10"/>
  <c r="I278" i="10" l="1"/>
  <c r="J292" i="10" l="1"/>
  <c r="J288" i="10" s="1"/>
  <c r="J287" i="10"/>
  <c r="J286" i="10"/>
  <c r="L282" i="10"/>
  <c r="J282" i="10"/>
  <c r="J281" i="10"/>
  <c r="J280" i="10"/>
  <c r="J269" i="10" l="1"/>
  <c r="J270" i="10" s="1"/>
  <c r="J276" i="10"/>
  <c r="J275" i="10" s="1"/>
  <c r="J293" i="10" s="1"/>
  <c r="L278" i="10" l="1"/>
  <c r="L281" i="10"/>
  <c r="I212" i="10" l="1"/>
  <c r="I269" i="10" s="1"/>
  <c r="I276" i="10"/>
  <c r="L279" i="10"/>
  <c r="L276" i="10" s="1"/>
  <c r="L292" i="10"/>
  <c r="L288" i="10" s="1"/>
  <c r="I275" i="10" l="1"/>
  <c r="I293" i="10" s="1"/>
  <c r="L269" i="10" l="1"/>
  <c r="I270" i="10" l="1"/>
  <c r="L270" i="10"/>
  <c r="L287" i="10" l="1"/>
  <c r="L286" i="10"/>
  <c r="L275" i="10" l="1"/>
  <c r="L293" i="10" s="1"/>
</calcChain>
</file>

<file path=xl/comments1.xml><?xml version="1.0" encoding="utf-8"?>
<comments xmlns="http://schemas.openxmlformats.org/spreadsheetml/2006/main">
  <authors>
    <author>Audra Cepiene</author>
    <author>Indrė Butenienė</author>
  </authors>
  <commentList>
    <comment ref="E18" authorId="0" shapeId="0">
      <text>
        <r>
          <rPr>
            <b/>
            <sz val="9"/>
            <color indexed="81"/>
            <rFont val="Tahoma"/>
            <family val="2"/>
            <charset val="186"/>
          </rPr>
          <t>Klaipėdos miesto savivaldybės 2013–2020 metų strateginis plėtros planas (P), KSP</t>
        </r>
      </text>
    </comment>
    <comment ref="E19" authorId="0" shapeId="0">
      <text>
        <r>
          <rPr>
            <b/>
            <sz val="9"/>
            <color indexed="81"/>
            <rFont val="Tahoma"/>
            <family val="2"/>
            <charset val="186"/>
          </rPr>
          <t>Klaipėdos miesto savivaldybės 2019–2023 m. veiklos prioritetai (P1)
P1, 3.3.</t>
        </r>
        <r>
          <rPr>
            <sz val="9"/>
            <color indexed="81"/>
            <rFont val="Tahoma"/>
            <family val="2"/>
            <charset val="186"/>
          </rPr>
          <t xml:space="preserve"> Klaipėdos miesto integruotos teritorijų programos įgyvendinimas
</t>
        </r>
        <r>
          <rPr>
            <b/>
            <sz val="9"/>
            <color indexed="81"/>
            <rFont val="Tahoma"/>
            <family val="2"/>
            <charset val="186"/>
          </rPr>
          <t xml:space="preserve">P1, 3.5. </t>
        </r>
        <r>
          <rPr>
            <sz val="9"/>
            <color indexed="81"/>
            <rFont val="Tahoma"/>
            <family val="2"/>
            <charset val="186"/>
          </rPr>
          <t>Viešųjų erdvių ir pastatų pritaikymas pagal universalaus dizaino principus</t>
        </r>
      </text>
    </comment>
    <comment ref="E20" authorId="1" shapeId="0">
      <text>
        <r>
          <rPr>
            <b/>
            <sz val="9"/>
            <color indexed="81"/>
            <rFont val="Tahoma"/>
            <family val="2"/>
            <charset val="186"/>
          </rPr>
          <t>Klaipėdos miesto ekonominės plėtros strategija ir įgyvendinimo veiksmų planas iki 2030 metų (P6)
P6 3.1.13.</t>
        </r>
        <r>
          <rPr>
            <sz val="9"/>
            <color indexed="81"/>
            <rFont val="Tahoma"/>
            <family val="2"/>
            <charset val="186"/>
          </rPr>
          <t xml:space="preserve"> Vystyti viešųjų erdvių gerinimo programas ir lokalius urbanistinės struktūros atgaivinimo projektus  </t>
        </r>
      </text>
    </comment>
    <comment ref="E26" authorId="0" shapeId="0">
      <text>
        <r>
          <rPr>
            <b/>
            <sz val="9"/>
            <color indexed="81"/>
            <rFont val="Tahoma"/>
            <family val="2"/>
            <charset val="186"/>
          </rPr>
          <t>KSP, 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
</t>
        </r>
      </text>
    </comment>
    <comment ref="E27" authorId="0" shapeId="0">
      <text>
        <r>
          <rPr>
            <b/>
            <sz val="9"/>
            <color indexed="81"/>
            <rFont val="Tahoma"/>
            <family val="2"/>
            <charset val="186"/>
          </rPr>
          <t>Klaipėdos miesto savivaldybės 2019–2023 m. veiklos prioritetai (P1)
P1, 3.3.</t>
        </r>
        <r>
          <rPr>
            <sz val="9"/>
            <color indexed="81"/>
            <rFont val="Tahoma"/>
            <family val="2"/>
            <charset val="186"/>
          </rPr>
          <t xml:space="preserve"> Klaipėdos miesto integruotos teritorijų programos įgyvendinimas
</t>
        </r>
        <r>
          <rPr>
            <b/>
            <sz val="9"/>
            <color indexed="81"/>
            <rFont val="Tahoma"/>
            <family val="2"/>
            <charset val="186"/>
          </rPr>
          <t xml:space="preserve">P1, 3.5. </t>
        </r>
        <r>
          <rPr>
            <sz val="9"/>
            <color indexed="81"/>
            <rFont val="Tahoma"/>
            <family val="2"/>
            <charset val="186"/>
          </rPr>
          <t>Viešųjų erdvių ir pastatų pritaikymas pagal universalaus dizaino principus</t>
        </r>
      </text>
    </comment>
    <comment ref="E28" authorId="1" shapeId="0">
      <text>
        <r>
          <rPr>
            <b/>
            <sz val="9"/>
            <color indexed="81"/>
            <rFont val="Tahoma"/>
            <family val="2"/>
            <charset val="186"/>
          </rPr>
          <t>Klaipėdos miesto ekonominės plėtros strategija ir įgyvendinimo veiksmų planas iki 2030 metų (P6)
P6 3.1.13.</t>
        </r>
        <r>
          <rPr>
            <sz val="9"/>
            <color indexed="81"/>
            <rFont val="Tahoma"/>
            <family val="2"/>
            <charset val="186"/>
          </rPr>
          <t xml:space="preserve"> Vystyti viešųjų erdvių gerinimo programas ir lokalius urbanistinės struktūros atgaivinimo projektus  </t>
        </r>
      </text>
    </comment>
    <comment ref="E30" authorId="0" shapeId="0">
      <text>
        <r>
          <rPr>
            <b/>
            <sz val="9"/>
            <color indexed="81"/>
            <rFont val="Tahoma"/>
            <family val="2"/>
            <charset val="186"/>
          </rPr>
          <t xml:space="preserve">KSP P 2.4.1.2. </t>
        </r>
        <r>
          <rPr>
            <sz val="9"/>
            <color indexed="81"/>
            <rFont val="Tahoma"/>
            <family val="2"/>
            <charset val="186"/>
          </rPr>
          <t xml:space="preserve">Sutvarkyti ir pritaikyti visuomenės arba rekreaciniams poreikiams Danės upės slėnio ir žiočių teritorijas; Danės upę pritaikyti laivybai, rekonstruoti Danės upės krantines nuo Biržos tilto iki Mokyklos gatvės tilto:
</t>
        </r>
      </text>
    </comment>
    <comment ref="E31" authorId="0" shapeId="0">
      <text>
        <r>
          <rPr>
            <b/>
            <sz val="9"/>
            <color indexed="81"/>
            <rFont val="Tahoma"/>
            <family val="2"/>
            <charset val="186"/>
          </rPr>
          <t>Klaipėdos miesto savivaldybės 2019–2023 m. veiklos prioritetai (P1)
P1, 3.3.</t>
        </r>
        <r>
          <rPr>
            <sz val="9"/>
            <color indexed="81"/>
            <rFont val="Tahoma"/>
            <family val="2"/>
            <charset val="186"/>
          </rPr>
          <t xml:space="preserve"> Klaipėdos miesto integruotos teritorijų programos įgyvendinimas
</t>
        </r>
        <r>
          <rPr>
            <b/>
            <sz val="9"/>
            <color indexed="81"/>
            <rFont val="Tahoma"/>
            <family val="2"/>
            <charset val="186"/>
          </rPr>
          <t xml:space="preserve">P1, 3.5. </t>
        </r>
        <r>
          <rPr>
            <sz val="9"/>
            <color indexed="81"/>
            <rFont val="Tahoma"/>
            <family val="2"/>
            <charset val="186"/>
          </rPr>
          <t>Viešųjų erdvių ir pastatų pritaikymas pagal universalaus dizaino principus</t>
        </r>
      </text>
    </comment>
    <comment ref="E32" authorId="0" shapeId="0">
      <text>
        <r>
          <rPr>
            <b/>
            <sz val="9"/>
            <color indexed="81"/>
            <rFont val="Tahoma"/>
            <family val="2"/>
            <charset val="186"/>
          </rPr>
          <t>KEPS 2030 metų (P6)</t>
        </r>
        <r>
          <rPr>
            <sz val="9"/>
            <color indexed="81"/>
            <rFont val="Tahoma"/>
            <family val="2"/>
            <charset val="186"/>
          </rPr>
          <t xml:space="preserve">
P6 3.1.13. Vystyti viešųjų erdvių gerinimo programas ir lokalius urbanistinės struktūros atgaivinimo projektus  </t>
        </r>
      </text>
    </comment>
    <comment ref="E34" authorId="0" shapeId="0">
      <text>
        <r>
          <rPr>
            <b/>
            <sz val="9"/>
            <color indexed="81"/>
            <rFont val="Tahoma"/>
            <family val="2"/>
            <charset val="186"/>
          </rPr>
          <t>KSP, 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
</t>
        </r>
      </text>
    </comment>
    <comment ref="E35" authorId="0" shapeId="0">
      <text>
        <r>
          <rPr>
            <b/>
            <sz val="9"/>
            <color indexed="81"/>
            <rFont val="Tahoma"/>
            <family val="2"/>
            <charset val="186"/>
          </rPr>
          <t xml:space="preserve">KEPS2030 3.1.5. </t>
        </r>
        <r>
          <rPr>
            <sz val="9"/>
            <color indexed="81"/>
            <rFont val="Tahoma"/>
            <family val="2"/>
            <charset val="186"/>
          </rPr>
          <t xml:space="preserve">"Intensyvinti linijinį centrą Taikos pr. ašyje" 
</t>
        </r>
      </text>
    </comment>
    <comment ref="E38" authorId="0" shapeId="0">
      <text>
        <r>
          <rPr>
            <sz val="9"/>
            <color indexed="81"/>
            <rFont val="Tahoma"/>
            <family val="2"/>
            <charset val="186"/>
          </rPr>
          <t>KSP,</t>
        </r>
        <r>
          <rPr>
            <b/>
            <sz val="9"/>
            <color indexed="81"/>
            <rFont val="Tahoma"/>
            <family val="2"/>
            <charset val="186"/>
          </rPr>
          <t xml:space="preserve"> P 2.4.2.5. </t>
        </r>
        <r>
          <rPr>
            <sz val="9"/>
            <color indexed="81"/>
            <rFont val="Tahoma"/>
            <family val="2"/>
            <charset val="186"/>
          </rPr>
          <t xml:space="preserve"> priemonė: Atnaujinti gyvenamųjų kvartalų centrines aikštes ir kitas viešąsias erdves, 3.1.1.1. priemonė "Išvystyti senąją turgavietę", Klaipėdos miesto ekonominės plėtros strategija ir įgyvendinimo veiksmų planas iki 2030 metų 
</t>
        </r>
        <r>
          <rPr>
            <b/>
            <sz val="9"/>
            <color indexed="81"/>
            <rFont val="Tahoma"/>
            <family val="2"/>
            <charset val="186"/>
          </rPr>
          <t>P1,</t>
        </r>
        <r>
          <rPr>
            <sz val="9"/>
            <color indexed="81"/>
            <rFont val="Tahoma"/>
            <family val="2"/>
            <charset val="186"/>
          </rPr>
          <t xml:space="preserve"> 4.1.5. Sutvarkyta turgaus aikštė, vnt.
</t>
        </r>
        <r>
          <rPr>
            <b/>
            <sz val="9"/>
            <color indexed="81"/>
            <rFont val="Tahoma"/>
            <family val="2"/>
            <charset val="186"/>
          </rPr>
          <t xml:space="preserve">
KEPS  3.1.11.</t>
        </r>
        <r>
          <rPr>
            <sz val="9"/>
            <color indexed="81"/>
            <rFont val="Tahoma"/>
            <family val="2"/>
            <charset val="186"/>
          </rPr>
          <t xml:space="preserve"> Išvystyti senąją turgavietę</t>
        </r>
      </text>
    </comment>
    <comment ref="E41" authorId="0" shapeId="0">
      <text>
        <r>
          <rPr>
            <b/>
            <sz val="9"/>
            <color indexed="81"/>
            <rFont val="Tahoma"/>
            <family val="2"/>
            <charset val="186"/>
          </rPr>
          <t>KSP, 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
</t>
        </r>
      </text>
    </comment>
    <comment ref="E42" authorId="0" shapeId="0">
      <text>
        <r>
          <rPr>
            <b/>
            <sz val="9"/>
            <color indexed="81"/>
            <rFont val="Tahoma"/>
            <family val="2"/>
            <charset val="186"/>
          </rPr>
          <t>Klaipėdos miesto savivaldybės 2019–2023 m. veiklos prioritetai (P1)
P1, 3.3.</t>
        </r>
        <r>
          <rPr>
            <sz val="9"/>
            <color indexed="81"/>
            <rFont val="Tahoma"/>
            <family val="2"/>
            <charset val="186"/>
          </rPr>
          <t xml:space="preserve"> Klaipėdos miesto integruotos teritorijų programos įgyvendinimas
</t>
        </r>
        <r>
          <rPr>
            <b/>
            <sz val="9"/>
            <color indexed="81"/>
            <rFont val="Tahoma"/>
            <family val="2"/>
            <charset val="186"/>
          </rPr>
          <t xml:space="preserve">P1, 3.5. </t>
        </r>
        <r>
          <rPr>
            <sz val="9"/>
            <color indexed="81"/>
            <rFont val="Tahoma"/>
            <family val="2"/>
            <charset val="186"/>
          </rPr>
          <t>Viešųjų erdvių ir pastatų pritaikymas pagal universalaus dizaino principus</t>
        </r>
      </text>
    </comment>
    <comment ref="E43" authorId="1" shapeId="0">
      <text>
        <r>
          <rPr>
            <b/>
            <sz val="9"/>
            <color indexed="81"/>
            <rFont val="Tahoma"/>
            <family val="2"/>
            <charset val="186"/>
          </rPr>
          <t>Klaipėdos miesto ekonominės plėtros strategija ir įgyvendinimo veiksmų planas iki 2030 metų (P6)
P6 3.1.13.</t>
        </r>
        <r>
          <rPr>
            <sz val="9"/>
            <color indexed="81"/>
            <rFont val="Tahoma"/>
            <family val="2"/>
            <charset val="186"/>
          </rPr>
          <t xml:space="preserve"> Vystyti viešųjų erdvių gerinimo programas ir lokalius urbanistinės struktūros atgaivinimo projektus  </t>
        </r>
      </text>
    </comment>
    <comment ref="E44" authorId="0" shapeId="0">
      <text>
        <r>
          <rPr>
            <b/>
            <sz val="9"/>
            <color indexed="81"/>
            <rFont val="Tahoma"/>
            <family val="2"/>
            <charset val="186"/>
          </rPr>
          <t>P, 3.2.1.7 KSP</t>
        </r>
        <r>
          <rPr>
            <sz val="9"/>
            <color indexed="81"/>
            <rFont val="Tahoma"/>
            <family val="2"/>
            <charset val="186"/>
          </rPr>
          <t xml:space="preserve"> priemonė: Sutvarkyti senamiesčio ir istorinės miesto dalies reprezentacinių viešųjų erdvių (Teatro, Turgaus, Atgimimo aikščių, Ferdinando ir kitų skverų) infrastruktūrą pritaikant jas turizmo reikmėms bei renginiams </t>
        </r>
      </text>
    </comment>
    <comment ref="E45" authorId="0" shapeId="0">
      <text>
        <r>
          <rPr>
            <b/>
            <sz val="9"/>
            <color indexed="81"/>
            <rFont val="Tahoma"/>
            <family val="2"/>
            <charset val="186"/>
          </rPr>
          <t>P1. 3.5.</t>
        </r>
        <r>
          <rPr>
            <sz val="9"/>
            <color indexed="81"/>
            <rFont val="Tahoma"/>
            <family val="2"/>
            <charset val="186"/>
          </rPr>
          <t xml:space="preserve"> Viešųjų erdvių ir pastatų pritaikymas pagal universalaus dizaino principus, </t>
        </r>
        <r>
          <rPr>
            <b/>
            <sz val="9"/>
            <color indexed="81"/>
            <rFont val="Tahoma"/>
            <family val="2"/>
            <charset val="186"/>
          </rPr>
          <t xml:space="preserve">3.5.1. </t>
        </r>
        <r>
          <rPr>
            <sz val="9"/>
            <color indexed="81"/>
            <rFont val="Tahoma"/>
            <family val="2"/>
            <charset val="186"/>
          </rPr>
          <t>Pritaikyta viešųjų erdvių, vnt.</t>
        </r>
      </text>
    </comment>
    <comment ref="E47" authorId="0" shapeId="0">
      <text>
        <r>
          <rPr>
            <b/>
            <sz val="9"/>
            <color indexed="81"/>
            <rFont val="Tahoma"/>
            <family val="2"/>
            <charset val="186"/>
          </rPr>
          <t>P, 3.2.1.7 KSP</t>
        </r>
        <r>
          <rPr>
            <sz val="9"/>
            <color indexed="81"/>
            <rFont val="Tahoma"/>
            <family val="2"/>
            <charset val="186"/>
          </rPr>
          <t xml:space="preserve"> priemonė: Sutvarkyti senamiesčio ir istorinės miesto dalies reprezentacinių viešųjų erdvių (Teatro, Turgaus, Atgimimo aikščių, Ferdinando ir kitų skverų) infrastruktūrą pritaikant jas turizmo reikmėms bei renginiams </t>
        </r>
      </text>
    </comment>
    <comment ref="E48" authorId="0" shapeId="0">
      <text>
        <r>
          <rPr>
            <b/>
            <sz val="9"/>
            <color indexed="81"/>
            <rFont val="Tahoma"/>
            <family val="2"/>
            <charset val="186"/>
          </rPr>
          <t>P1. 3.5.</t>
        </r>
        <r>
          <rPr>
            <sz val="9"/>
            <color indexed="81"/>
            <rFont val="Tahoma"/>
            <family val="2"/>
            <charset val="186"/>
          </rPr>
          <t xml:space="preserve"> Viešųjų erdvių ir pastatų pritaikymas pagal universalaus dizaino principus, </t>
        </r>
        <r>
          <rPr>
            <b/>
            <sz val="9"/>
            <color indexed="81"/>
            <rFont val="Tahoma"/>
            <family val="2"/>
            <charset val="186"/>
          </rPr>
          <t xml:space="preserve">3.5.1. </t>
        </r>
        <r>
          <rPr>
            <sz val="9"/>
            <color indexed="81"/>
            <rFont val="Tahoma"/>
            <family val="2"/>
            <charset val="186"/>
          </rPr>
          <t>Pritaikyta viešųjų erdvių, vnt.</t>
        </r>
      </text>
    </comment>
    <comment ref="E52" authorId="0" shapeId="0">
      <text>
        <r>
          <rPr>
            <sz val="9"/>
            <color indexed="81"/>
            <rFont val="Tahoma"/>
            <family val="2"/>
            <charset val="186"/>
          </rPr>
          <t xml:space="preserve">P, 3.2.1.7 KSP priemonė: Sutvarkyti senamiesčio ir istorinės miesto dalies reprezentacinių viešųjų erdvių (Teatro, Turgaus, Atgimimo aikščių, Ferdinando ir kitų skverų) infrastruktūrą pritaikant jas turizmo reikmėms bei renginiams 
</t>
        </r>
      </text>
    </comment>
    <comment ref="E53" authorId="0" shapeId="0">
      <text>
        <r>
          <rPr>
            <b/>
            <sz val="9"/>
            <color indexed="81"/>
            <rFont val="Tahoma"/>
            <family val="2"/>
            <charset val="186"/>
          </rPr>
          <t xml:space="preserve">P6 3.1.13 </t>
        </r>
        <r>
          <rPr>
            <sz val="9"/>
            <color indexed="81"/>
            <rFont val="Tahoma"/>
            <family val="2"/>
            <charset val="186"/>
          </rPr>
          <t>priemonė, Vystyti viešųjų erdvių pietinėje ir šiaurinėje erdvėje atgaivinimo projektus</t>
        </r>
      </text>
    </comment>
    <comment ref="E54" authorId="0" shapeId="0">
      <text>
        <r>
          <rPr>
            <b/>
            <sz val="9"/>
            <color indexed="81"/>
            <rFont val="Tahoma"/>
            <family val="2"/>
            <charset val="186"/>
          </rPr>
          <t>P1. 3.5.</t>
        </r>
        <r>
          <rPr>
            <sz val="9"/>
            <color indexed="81"/>
            <rFont val="Tahoma"/>
            <family val="2"/>
            <charset val="186"/>
          </rPr>
          <t xml:space="preserve"> Viešųjų erdvių ir pastatų pritaikymas pagal universalaus dizaino principus, </t>
        </r>
        <r>
          <rPr>
            <b/>
            <sz val="9"/>
            <color indexed="81"/>
            <rFont val="Tahoma"/>
            <family val="2"/>
            <charset val="186"/>
          </rPr>
          <t xml:space="preserve">3.5.1. </t>
        </r>
        <r>
          <rPr>
            <sz val="9"/>
            <color indexed="81"/>
            <rFont val="Tahoma"/>
            <family val="2"/>
            <charset val="186"/>
          </rPr>
          <t>Pritaikyta viešųjų erdvių, vnt.</t>
        </r>
      </text>
    </comment>
    <comment ref="J56" authorId="0" shapeId="0">
      <text>
        <r>
          <rPr>
            <sz val="9"/>
            <color indexed="81"/>
            <rFont val="Tahoma"/>
            <family val="2"/>
            <charset val="186"/>
          </rPr>
          <t xml:space="preserve">Parengtas techninis projektas. Paveldosaugos skyrius 
</t>
        </r>
      </text>
    </comment>
    <comment ref="E63"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J79" authorId="0" shapeId="0">
      <text>
        <r>
          <rPr>
            <sz val="9"/>
            <color indexed="81"/>
            <rFont val="Tahoma"/>
            <family val="2"/>
            <charset val="186"/>
          </rPr>
          <t>Iš viso mieste yra 1,5 tūkst. vnt. šiukšliadėžių</t>
        </r>
      </text>
    </comment>
    <comment ref="J80" authorId="0" shapeId="0">
      <text>
        <r>
          <rPr>
            <sz val="9"/>
            <color indexed="81"/>
            <rFont val="Tahoma"/>
            <family val="2"/>
            <charset val="186"/>
          </rPr>
          <t>Iš viso mieste yra 1,1 tūkst. vnt. suoliuk</t>
        </r>
      </text>
    </comment>
    <comment ref="K84" authorId="0" shapeId="0">
      <text>
        <r>
          <rPr>
            <sz val="9"/>
            <color indexed="81"/>
            <rFont val="Tahoma"/>
            <family val="2"/>
            <charset val="186"/>
          </rPr>
          <t>Dėl neapibrėžtos situacijos, lėšos eglei planuojamos dar 2020 m.</t>
        </r>
      </text>
    </comment>
    <comment ref="L84" authorId="0" shapeId="0">
      <text>
        <r>
          <rPr>
            <sz val="9"/>
            <color indexed="81"/>
            <rFont val="Tahoma"/>
            <family val="2"/>
            <charset val="186"/>
          </rPr>
          <t xml:space="preserve">Dėl Atgimimo aikštės rekonstravimo darbų eglė nebeplanuojama
</t>
        </r>
      </text>
    </comment>
    <comment ref="E89" authorId="1" shapeId="0">
      <text>
        <r>
          <rPr>
            <b/>
            <sz val="9"/>
            <color indexed="81"/>
            <rFont val="Tahoma"/>
            <family val="2"/>
            <charset val="186"/>
          </rPr>
          <t>KEPS2030  4.5.1.</t>
        </r>
        <r>
          <rPr>
            <sz val="9"/>
            <color indexed="81"/>
            <rFont val="Tahoma"/>
            <family val="2"/>
            <charset val="186"/>
          </rPr>
          <t xml:space="preserve"> Išvalyti Danės upę, pastatyti ir išplėtoti mažus uostelius.</t>
        </r>
      </text>
    </comment>
    <comment ref="E90" authorId="0" shapeId="0">
      <text>
        <r>
          <rPr>
            <b/>
            <sz val="9"/>
            <color indexed="81"/>
            <rFont val="Tahoma"/>
            <family val="2"/>
            <charset val="186"/>
          </rPr>
          <t>KSP P 2.4.1.2</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J92" authorId="0" shapeId="0">
      <text>
        <r>
          <rPr>
            <sz val="9"/>
            <color indexed="81"/>
            <rFont val="Tahoma"/>
            <family val="2"/>
            <charset val="186"/>
          </rPr>
          <t>Planuojama vieta – ant naujojo Klaipėdos baseino rytinės sienos (Taikos pr.).</t>
        </r>
      </text>
    </comment>
    <comment ref="D97"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E97" authorId="0" shapeId="0">
      <text>
        <r>
          <rPr>
            <b/>
            <sz val="9"/>
            <color indexed="81"/>
            <rFont val="Tahoma"/>
            <family val="2"/>
            <charset val="186"/>
          </rPr>
          <t>KSP P 2.4.2.8</t>
        </r>
        <r>
          <rPr>
            <sz val="9"/>
            <color indexed="81"/>
            <rFont val="Tahoma"/>
            <family val="2"/>
            <charset val="186"/>
          </rPr>
          <t xml:space="preserve">
Diegti aukšto lygio paslaugų ir infrastruktūros parametrus miesto paplūdimiuose ir kitose poilsio zonose</t>
        </r>
      </text>
    </comment>
    <comment ref="E98" authorId="1" shapeId="0">
      <text>
        <r>
          <rPr>
            <b/>
            <sz val="9"/>
            <color indexed="81"/>
            <rFont val="Tahoma"/>
            <family val="2"/>
            <charset val="186"/>
          </rPr>
          <t>KEPS 4.5.1.</t>
        </r>
        <r>
          <rPr>
            <sz val="9"/>
            <color indexed="81"/>
            <rFont val="Tahoma"/>
            <family val="2"/>
            <charset val="186"/>
          </rPr>
          <t xml:space="preserve"> Išvalyti Danės upę, pastatyti ir išplėtoti mažus uostelius.</t>
        </r>
      </text>
    </comment>
    <comment ref="E104" authorId="0" shapeId="0">
      <text>
        <r>
          <rPr>
            <b/>
            <sz val="9"/>
            <color indexed="81"/>
            <rFont val="Tahoma"/>
            <family val="2"/>
            <charset val="186"/>
          </rPr>
          <t xml:space="preserve">P1, </t>
        </r>
        <r>
          <rPr>
            <sz val="9"/>
            <color indexed="81"/>
            <rFont val="Tahoma"/>
            <family val="2"/>
            <charset val="186"/>
          </rPr>
          <t>2.3. Municipalinio (vidaus vandenų) uosto atkūrimas Klaipėdoje</t>
        </r>
      </text>
    </comment>
    <comment ref="J108" authorId="0" shapeId="0">
      <text>
        <r>
          <rPr>
            <sz val="9"/>
            <color indexed="81"/>
            <rFont val="Tahoma"/>
            <family val="2"/>
            <charset val="186"/>
          </rPr>
          <t>Viešieji tualetai: Stovyklų g. 4 –21,79 m2; Kopų g. 1A (I Melnragė) – 87,25 m2;</t>
        </r>
      </text>
    </comment>
    <comment ref="E112" authorId="0" shapeId="0">
      <text>
        <r>
          <rPr>
            <b/>
            <sz val="9"/>
            <color indexed="81"/>
            <rFont val="Tahoma"/>
            <family val="2"/>
            <charset val="186"/>
          </rPr>
          <t>KSP P 2.4.2.8</t>
        </r>
        <r>
          <rPr>
            <sz val="9"/>
            <color indexed="81"/>
            <rFont val="Tahoma"/>
            <family val="2"/>
            <charset val="186"/>
          </rPr>
          <t xml:space="preserve">
Diegti aukšto lygio paslaugų ir infrastruktūros parametrus miesto paplūdimiuose ir kitose poilsio zonose</t>
        </r>
      </text>
    </comment>
    <comment ref="E115" authorId="0" shapeId="0">
      <text>
        <r>
          <rPr>
            <b/>
            <sz val="9"/>
            <color indexed="81"/>
            <rFont val="Tahoma"/>
            <family val="2"/>
            <charset val="186"/>
          </rPr>
          <t>KSP P 2.4.2.8</t>
        </r>
        <r>
          <rPr>
            <sz val="9"/>
            <color indexed="81"/>
            <rFont val="Tahoma"/>
            <family val="2"/>
            <charset val="186"/>
          </rPr>
          <t xml:space="preserve">
Diegti aukšto lygio paslaugų ir infrastruktūros parametrus miesto paplūdimiuose ir kitose poilsio zonose</t>
        </r>
      </text>
    </comment>
    <comment ref="E136" authorId="0" shapeId="0">
      <text>
        <r>
          <rPr>
            <b/>
            <sz val="9"/>
            <color indexed="81"/>
            <rFont val="Tahoma"/>
            <family val="2"/>
            <charset val="186"/>
          </rPr>
          <t xml:space="preserve">P, KSP 2.3.2.5
</t>
        </r>
        <r>
          <rPr>
            <sz val="9"/>
            <color indexed="81"/>
            <rFont val="Tahoma"/>
            <family val="2"/>
            <charset val="186"/>
          </rPr>
          <t xml:space="preserve">Gerinti Klaipėdos miesto viešųjų erdvių apšvietimo efektyvumą ir kokybę
</t>
        </r>
      </text>
    </comment>
    <comment ref="K146" authorId="0" shapeId="0">
      <text>
        <r>
          <rPr>
            <b/>
            <sz val="9"/>
            <color indexed="81"/>
            <rFont val="Tahoma"/>
            <family val="2"/>
            <charset val="186"/>
          </rPr>
          <t xml:space="preserve">2020 m. </t>
        </r>
        <r>
          <rPr>
            <sz val="9"/>
            <color indexed="81"/>
            <rFont val="Tahoma"/>
            <family val="2"/>
            <charset val="186"/>
          </rPr>
          <t xml:space="preserve">
1. Kadetų mokykla;
2. Simonaitytės kalnas;
3. Takas tarp Baltijos pr. 55 ir Baltijos pr. 63;
4. Vyturio g. nuo Laukininkų g. 11 iki Vyturio g. 23;
5. Takas nuo Vaivos g. iki Audros g.;
6. Įvažaivimas į aikštelę Pievų tako g. 14-16;
7. Kaštonų g,;
8. Takas nuo Turistų g. iki Pamario g.;
9. Reikjaviko g. 13;
10. Praėjimas nuo Veterinarijos g. iki Neringos sodų;
11. Praėjimas nuo Simonaitytės g. 29 iki Simon aitytės g. 33;
12. Nėgių g.;
13. Šlakių g.;
14. Žiobrių g.;
15.Skveras tarp H. Manto g. 38 ir 36.
16. Praėjime nuo Taikos pr. 8 iki Sausio 15-osios 2A</t>
        </r>
      </text>
    </comment>
    <comment ref="M184" authorId="0" shapeId="0">
      <text>
        <r>
          <rPr>
            <sz val="9"/>
            <color indexed="81"/>
            <rFont val="Tahoma"/>
            <family val="2"/>
            <charset val="186"/>
          </rPr>
          <t xml:space="preserve">buvo padaryta kapinių plėtros studija (rengė UPD). Studijos 6 variantas. </t>
        </r>
      </text>
    </comment>
    <comment ref="E194" authorId="0" shapeId="0">
      <text>
        <r>
          <rPr>
            <b/>
            <sz val="9"/>
            <color indexed="81"/>
            <rFont val="Tahoma"/>
            <family val="2"/>
            <charset val="186"/>
          </rPr>
          <t>P, 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95" authorId="0" shapeId="0">
      <text>
        <r>
          <rPr>
            <b/>
            <sz val="9"/>
            <color indexed="81"/>
            <rFont val="Tahoma"/>
            <family val="2"/>
            <charset val="186"/>
          </rPr>
          <t>P1, 3.4.</t>
        </r>
        <r>
          <rPr>
            <sz val="9"/>
            <color indexed="81"/>
            <rFont val="Tahoma"/>
            <family val="2"/>
            <charset val="186"/>
          </rPr>
          <t xml:space="preserve"> Daugiabučių namų kvartalinės renovacijos skatinimas;</t>
        </r>
      </text>
    </comment>
    <comment ref="E200" authorId="0" shapeId="0">
      <text>
        <r>
          <rPr>
            <b/>
            <sz val="9"/>
            <color indexed="81"/>
            <rFont val="Tahoma"/>
            <family val="2"/>
            <charset val="186"/>
          </rPr>
          <t>P, 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201" authorId="0" shapeId="0">
      <text>
        <r>
          <rPr>
            <b/>
            <sz val="9"/>
            <color indexed="81"/>
            <rFont val="Tahoma"/>
            <family val="2"/>
            <charset val="186"/>
          </rPr>
          <t>P1, 3.4.</t>
        </r>
        <r>
          <rPr>
            <sz val="9"/>
            <color indexed="81"/>
            <rFont val="Tahoma"/>
            <family val="2"/>
            <charset val="186"/>
          </rPr>
          <t xml:space="preserve"> Daugiabučių namų kvartalinės renovacijos skatinimas;</t>
        </r>
      </text>
    </comment>
    <comment ref="J202" authorId="0" shapeId="0">
      <text>
        <r>
          <rPr>
            <sz val="9"/>
            <color indexed="81"/>
            <rFont val="Tahoma"/>
            <family val="2"/>
            <charset val="186"/>
          </rPr>
          <t xml:space="preserve">iš viso automobilių aikštelių - 446 vnt.
</t>
        </r>
      </text>
    </comment>
    <comment ref="J203" authorId="0" shapeId="0">
      <text>
        <r>
          <rPr>
            <sz val="9"/>
            <color indexed="81"/>
            <rFont val="Tahoma"/>
            <family val="2"/>
            <charset val="186"/>
          </rPr>
          <t>Iš viso įrengta apšvietimo atramų - 259 vnt.</t>
        </r>
        <r>
          <rPr>
            <sz val="9"/>
            <color indexed="81"/>
            <rFont val="Tahoma"/>
            <family val="2"/>
            <charset val="186"/>
          </rPr>
          <t xml:space="preserve">
</t>
        </r>
      </text>
    </comment>
    <comment ref="K210" authorId="0" shapeId="0">
      <text>
        <r>
          <rPr>
            <b/>
            <sz val="9"/>
            <color indexed="81"/>
            <rFont val="Tahoma"/>
            <family val="2"/>
            <charset val="186"/>
          </rPr>
          <t>2 aikštelės :</t>
        </r>
        <r>
          <rPr>
            <sz val="9"/>
            <color indexed="81"/>
            <rFont val="Tahoma"/>
            <family val="2"/>
            <charset val="186"/>
          </rPr>
          <t xml:space="preserve">
Mogiliovo g. 14, 16, Klaipėdoje, Reikjaviko g. 1, Klaipėdoje</t>
        </r>
      </text>
    </comment>
    <comment ref="D233" authorId="0" shapeId="0">
      <text>
        <r>
          <rPr>
            <b/>
            <sz val="9"/>
            <color indexed="81"/>
            <rFont val="Tahoma"/>
            <family val="2"/>
            <charset val="186"/>
          </rPr>
          <t>2016-09-23 STR3-12,</t>
        </r>
        <r>
          <rPr>
            <sz val="9"/>
            <color indexed="81"/>
            <rFont val="Tahoma"/>
            <family val="2"/>
            <charset val="186"/>
          </rPr>
          <t xml:space="preserve"> 2016 m. parengta teritorijos išvystymo galimybių studija. Projektas apima gatvių nutiesimą, vandentiekį, nuotekas, šilumos tinklus, apšvietimą, elektros tinklus, dujas. </t>
        </r>
      </text>
    </comment>
    <comment ref="G246" authorId="0" shapeId="0">
      <text>
        <r>
          <rPr>
            <b/>
            <sz val="9"/>
            <color indexed="81"/>
            <rFont val="Tahoma"/>
            <family val="2"/>
            <charset val="186"/>
          </rPr>
          <t xml:space="preserve">15335,8 biudžetas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Indrė Butenienė</author>
    <author>Regina Intienė</author>
    <author>Saulina Paulauskiene</author>
  </authors>
  <commentList>
    <comment ref="F15" authorId="0" shapeId="0">
      <text>
        <r>
          <rPr>
            <b/>
            <sz val="9"/>
            <color indexed="81"/>
            <rFont val="Tahoma"/>
            <family val="2"/>
            <charset val="186"/>
          </rPr>
          <t>P1, 3.3.</t>
        </r>
        <r>
          <rPr>
            <sz val="9"/>
            <color indexed="81"/>
            <rFont val="Tahoma"/>
            <family val="2"/>
            <charset val="186"/>
          </rPr>
          <t xml:space="preserve"> Klaipėdos miesto integruotos teritorijų programos įgyvendinimas
</t>
        </r>
        <r>
          <rPr>
            <b/>
            <sz val="9"/>
            <color indexed="81"/>
            <rFont val="Tahoma"/>
            <family val="2"/>
            <charset val="186"/>
          </rPr>
          <t xml:space="preserve">
P1, 3.5. </t>
        </r>
        <r>
          <rPr>
            <sz val="9"/>
            <color indexed="81"/>
            <rFont val="Tahoma"/>
            <family val="2"/>
            <charset val="186"/>
          </rPr>
          <t>Viešųjų erdvių ir pastatų pritaikymas pagal universalaus dizaino principus</t>
        </r>
      </text>
    </comment>
    <comment ref="F16" authorId="1" shapeId="0">
      <text>
        <r>
          <rPr>
            <b/>
            <sz val="9"/>
            <color indexed="81"/>
            <rFont val="Tahoma"/>
            <family val="2"/>
            <charset val="186"/>
          </rPr>
          <t>Visos papriemonės atitinka</t>
        </r>
        <r>
          <rPr>
            <sz val="9"/>
            <color indexed="81"/>
            <rFont val="Tahoma"/>
            <family val="2"/>
            <charset val="186"/>
          </rPr>
          <t xml:space="preserve">
</t>
        </r>
        <r>
          <rPr>
            <b/>
            <sz val="9"/>
            <color indexed="81"/>
            <rFont val="Tahoma"/>
            <family val="2"/>
            <charset val="186"/>
          </rPr>
          <t>KEPS 3.1.13.</t>
        </r>
        <r>
          <rPr>
            <sz val="9"/>
            <color indexed="81"/>
            <rFont val="Tahoma"/>
            <family val="2"/>
            <charset val="186"/>
          </rPr>
          <t xml:space="preserve"> Vystyti viešųjų erdvių gerinimo programas ir lokalius urbanistinės struktūros atgaivinimo projektus  </t>
        </r>
      </text>
    </comment>
    <comment ref="F23"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M23" authorId="0" shapeId="0">
      <text>
        <r>
          <rPr>
            <sz val="9"/>
            <color indexed="81"/>
            <rFont val="Tahoma"/>
            <family val="2"/>
            <charset val="186"/>
          </rPr>
          <t xml:space="preserve">2019 m. vyksta projekto ekspertizė, projekto sąmatos korekcija, rangos darbų pirkimas ir archeologiniai tyrinėjimai 
</t>
        </r>
      </text>
    </comment>
    <comment ref="F28"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F33"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
</t>
        </r>
        <r>
          <rPr>
            <b/>
            <sz val="9"/>
            <color indexed="81"/>
            <rFont val="Tahoma"/>
            <family val="2"/>
            <charset val="186"/>
          </rPr>
          <t xml:space="preserve">P6, Klaipėdos miesto ekonominės plėtros strategija ir įgyvendinimo veiksmų planas iki 2030 metų, 3.1.5. </t>
        </r>
        <r>
          <rPr>
            <sz val="9"/>
            <color indexed="81"/>
            <rFont val="Tahoma"/>
            <family val="2"/>
            <charset val="186"/>
          </rPr>
          <t xml:space="preserve">"Intensyvinti linijinį centrą Taikos pr. ašyje" </t>
        </r>
      </text>
    </comment>
    <comment ref="F38" authorId="0" shapeId="0">
      <text>
        <r>
          <rPr>
            <sz val="9"/>
            <color indexed="81"/>
            <rFont val="Tahoma"/>
            <family val="2"/>
            <charset val="186"/>
          </rPr>
          <t xml:space="preserve">2.4.2.5. KSP priemonė: Atnaujinti gyvenamųjų kvartalų centrines aikštes ir kitas viešąsias erdves, 3.1.1.1. priemonė "Išvystyti senąją turgavietę", Klaipėdos miesto ekonominės plėtros strategija ir įgyvendinimo veiksmų planas iki 2030 metų 
</t>
        </r>
        <r>
          <rPr>
            <b/>
            <sz val="9"/>
            <color indexed="81"/>
            <rFont val="Tahoma"/>
            <family val="2"/>
            <charset val="186"/>
          </rPr>
          <t>P1,</t>
        </r>
        <r>
          <rPr>
            <sz val="9"/>
            <color indexed="81"/>
            <rFont val="Tahoma"/>
            <family val="2"/>
            <charset val="186"/>
          </rPr>
          <t xml:space="preserve"> 4.1.5. Sutvarkyta turgaus aikštė, vnt.
</t>
        </r>
        <r>
          <rPr>
            <b/>
            <sz val="9"/>
            <color indexed="81"/>
            <rFont val="Tahoma"/>
            <family val="2"/>
            <charset val="186"/>
          </rPr>
          <t xml:space="preserve">
KEPS  3.1.11.</t>
        </r>
        <r>
          <rPr>
            <sz val="9"/>
            <color indexed="81"/>
            <rFont val="Tahoma"/>
            <family val="2"/>
            <charset val="186"/>
          </rPr>
          <t xml:space="preserve"> Išvystyti senąją turgavietę</t>
        </r>
      </text>
    </comment>
    <comment ref="F42"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46" authorId="0" shapeId="0">
      <text>
        <r>
          <rPr>
            <b/>
            <sz val="9"/>
            <color indexed="81"/>
            <rFont val="Tahoma"/>
            <family val="2"/>
            <charset val="186"/>
          </rPr>
          <t>P1. 3.5.</t>
        </r>
        <r>
          <rPr>
            <sz val="9"/>
            <color indexed="81"/>
            <rFont val="Tahoma"/>
            <family val="2"/>
            <charset val="186"/>
          </rPr>
          <t xml:space="preserve"> Viešųjų erdvių ir pastatų pritaikymas pagal universalaus dizaino principus, </t>
        </r>
        <r>
          <rPr>
            <b/>
            <sz val="9"/>
            <color indexed="81"/>
            <rFont val="Tahoma"/>
            <family val="2"/>
            <charset val="186"/>
          </rPr>
          <t xml:space="preserve">3.5.1. </t>
        </r>
        <r>
          <rPr>
            <sz val="9"/>
            <color indexed="81"/>
            <rFont val="Tahoma"/>
            <family val="2"/>
            <charset val="186"/>
          </rPr>
          <t>Pritaikyta viešųjų erdvių, vnt.</t>
        </r>
      </text>
    </comment>
    <comment ref="M46" authorId="0" shapeId="0">
      <text>
        <r>
          <rPr>
            <sz val="9"/>
            <color indexed="81"/>
            <rFont val="Tahoma"/>
            <family val="2"/>
            <charset val="186"/>
          </rPr>
          <t xml:space="preserve">Reikalinga iškelti buitinių nuotekų tinklus, kurie trukdo el. įvadų įrengimui </t>
        </r>
      </text>
    </comment>
    <comment ref="F47" authorId="1" shapeId="0">
      <text>
        <r>
          <rPr>
            <b/>
            <sz val="9"/>
            <color indexed="81"/>
            <rFont val="Tahoma"/>
            <family val="2"/>
            <charset val="186"/>
          </rPr>
          <t>KEPS 3.1.13.</t>
        </r>
        <r>
          <rPr>
            <sz val="9"/>
            <color indexed="81"/>
            <rFont val="Tahoma"/>
            <family val="2"/>
            <charset val="186"/>
          </rPr>
          <t xml:space="preserve"> Vystyti viešųjų erdvių gerinimo programas ir lokalius urbanistinės struktūros atgaivinimo projektus  </t>
        </r>
      </text>
    </comment>
    <comment ref="F48" authorId="0" shapeId="0">
      <text>
        <r>
          <rPr>
            <b/>
            <sz val="9"/>
            <color indexed="81"/>
            <rFont val="Tahoma"/>
            <family val="2"/>
            <charset val="186"/>
          </rPr>
          <t>P1. 3.5.</t>
        </r>
        <r>
          <rPr>
            <sz val="9"/>
            <color indexed="81"/>
            <rFont val="Tahoma"/>
            <family val="2"/>
            <charset val="186"/>
          </rPr>
          <t xml:space="preserve"> Viešųjų erdvių ir pastatų pritaikymas pagal universalaus dizaino principus, </t>
        </r>
        <r>
          <rPr>
            <b/>
            <sz val="9"/>
            <color indexed="81"/>
            <rFont val="Tahoma"/>
            <family val="2"/>
            <charset val="186"/>
          </rPr>
          <t xml:space="preserve">3.5.1. </t>
        </r>
        <r>
          <rPr>
            <sz val="9"/>
            <color indexed="81"/>
            <rFont val="Tahoma"/>
            <family val="2"/>
            <charset val="186"/>
          </rPr>
          <t>Pritaikyta viešųjų erdvių, vnt.</t>
        </r>
      </text>
    </comment>
    <comment ref="F49" authorId="1" shapeId="0">
      <text>
        <r>
          <rPr>
            <b/>
            <sz val="9"/>
            <color indexed="81"/>
            <rFont val="Tahoma"/>
            <family val="2"/>
            <charset val="186"/>
          </rPr>
          <t>KEPS 3.1.13.</t>
        </r>
        <r>
          <rPr>
            <sz val="9"/>
            <color indexed="81"/>
            <rFont val="Tahoma"/>
            <family val="2"/>
            <charset val="186"/>
          </rPr>
          <t xml:space="preserve"> Vystyti viešųjų erdvių gerinimo programas ir lokalius urbanistinės struktūros atgaivinimo projektus  </t>
        </r>
      </text>
    </comment>
    <comment ref="F50" authorId="0" shapeId="0">
      <text>
        <r>
          <rPr>
            <b/>
            <sz val="9"/>
            <color indexed="81"/>
            <rFont val="Tahoma"/>
            <family val="2"/>
            <charset val="186"/>
          </rPr>
          <t xml:space="preserve">P6 3.1.13 priemonė, </t>
        </r>
        <r>
          <rPr>
            <sz val="9"/>
            <color indexed="81"/>
            <rFont val="Tahoma"/>
            <family val="2"/>
            <charset val="186"/>
          </rPr>
          <t xml:space="preserve">Vystyti viešųjų erdvių pietinėje ir šiaurinėje erdvėje atgaivinimo projektus
</t>
        </r>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r>
          <rPr>
            <b/>
            <sz val="9"/>
            <color indexed="81"/>
            <rFont val="Tahoma"/>
            <family val="2"/>
            <charset val="186"/>
          </rPr>
          <t xml:space="preserve">
</t>
        </r>
        <r>
          <rPr>
            <sz val="9"/>
            <color indexed="81"/>
            <rFont val="Tahoma"/>
            <family val="2"/>
            <charset val="186"/>
          </rPr>
          <t xml:space="preserve">
</t>
        </r>
      </text>
    </comment>
    <comment ref="F52" authorId="0" shapeId="0">
      <text>
        <r>
          <rPr>
            <b/>
            <sz val="9"/>
            <color indexed="81"/>
            <rFont val="Tahoma"/>
            <family val="2"/>
            <charset val="186"/>
          </rPr>
          <t xml:space="preserve">P6 3.1.13 </t>
        </r>
        <r>
          <rPr>
            <sz val="9"/>
            <color indexed="81"/>
            <rFont val="Tahoma"/>
            <family val="2"/>
            <charset val="186"/>
          </rPr>
          <t xml:space="preserve">priemonė, Vystyti viešųjų erdvių pietinėje ir šiaurinėje erdvėje atgaivinimo projektus
</t>
        </r>
      </text>
    </comment>
    <comment ref="M56" authorId="0" shapeId="0">
      <text>
        <r>
          <rPr>
            <sz val="9"/>
            <color indexed="81"/>
            <rFont val="Tahoma"/>
            <family val="2"/>
            <charset val="186"/>
          </rPr>
          <t xml:space="preserve">Parengtas techninis projektas. Paveldosaugos skyrius 
</t>
        </r>
      </text>
    </comment>
    <comment ref="J59" authorId="0" shapeId="0">
      <text>
        <r>
          <rPr>
            <b/>
            <sz val="9"/>
            <color indexed="81"/>
            <rFont val="Tahoma"/>
            <family val="2"/>
            <charset val="186"/>
          </rPr>
          <t>ekspertizei</t>
        </r>
        <r>
          <rPr>
            <sz val="9"/>
            <color indexed="81"/>
            <rFont val="Tahoma"/>
            <family val="2"/>
            <charset val="186"/>
          </rPr>
          <t xml:space="preserve">
</t>
        </r>
      </text>
    </comment>
    <comment ref="F64"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M64" authorId="0" shapeId="0">
      <text>
        <r>
          <rPr>
            <sz val="9"/>
            <color indexed="81"/>
            <rFont val="Tahoma"/>
            <family val="2"/>
            <charset val="186"/>
          </rPr>
          <t xml:space="preserve">Eksploatuojami 5 fontanai: "Taravos Anikė"; "Laivelis" Meridiano skvere; Debreceno aikštės fontanas; Pempininkų aikštės fontanas; „Laivelis“ skvere prie „Meridiano“.
</t>
        </r>
      </text>
    </comment>
    <comment ref="O64" authorId="0" shapeId="0">
      <text>
        <r>
          <rPr>
            <b/>
            <sz val="9"/>
            <color indexed="81"/>
            <rFont val="Tahoma"/>
            <family val="2"/>
            <charset val="186"/>
          </rPr>
          <t>Eksploatuojami 5 fontanai:</t>
        </r>
        <r>
          <rPr>
            <sz val="9"/>
            <color indexed="81"/>
            <rFont val="Tahoma"/>
            <family val="2"/>
            <charset val="186"/>
          </rPr>
          <t xml:space="preserve"> "Taravos Anikė"; "Laivelis" Meridiano skvere; Debreceno aikštės fontanas; Pempininkų aikštės fontanas; „Laivelis“ skvere prie „Meridiano“.</t>
        </r>
      </text>
    </comment>
    <comment ref="I70" authorId="0" shapeId="0">
      <text>
        <r>
          <rPr>
            <sz val="9"/>
            <color indexed="81"/>
            <rFont val="Tahoma"/>
            <family val="2"/>
            <charset val="186"/>
          </rPr>
          <t>iš viso projekto kaina 53,8 tūkst. eur , iš jų 3,6 tūkst. eur projektas (43,1-3,6) 39,5 tūkst. eur persikelia</t>
        </r>
      </text>
    </comment>
    <comment ref="N70" authorId="0" shapeId="0">
      <text>
        <r>
          <rPr>
            <sz val="9"/>
            <color indexed="81"/>
            <rFont val="Tahoma"/>
            <family val="2"/>
            <charset val="186"/>
          </rPr>
          <t>iš viso projekto kaina 53,8 tūkst. eur , iš jų 3,6 tūkst. eur projektas</t>
        </r>
      </text>
    </comment>
    <comment ref="M84" authorId="0" shapeId="0">
      <text>
        <r>
          <rPr>
            <sz val="9"/>
            <color indexed="81"/>
            <rFont val="Tahoma"/>
            <family val="2"/>
            <charset val="186"/>
          </rPr>
          <t>Iš viso mieste yra 1,5 tūkst. vnt. šiukšliadėžių</t>
        </r>
      </text>
    </comment>
    <comment ref="M85" authorId="0" shapeId="0">
      <text>
        <r>
          <rPr>
            <sz val="9"/>
            <color indexed="81"/>
            <rFont val="Tahoma"/>
            <family val="2"/>
            <charset val="186"/>
          </rPr>
          <t>Iš viso mieste yra 1,1 tūkst. vnt. suoliuk</t>
        </r>
      </text>
    </comment>
    <comment ref="O89" authorId="0" shapeId="0">
      <text>
        <r>
          <rPr>
            <sz val="9"/>
            <color indexed="81"/>
            <rFont val="Tahoma"/>
            <family val="2"/>
            <charset val="186"/>
          </rPr>
          <t>Dėl neapibrėžtos situacijos, lėšos eglei planuojamos dar 2020 m.</t>
        </r>
      </text>
    </comment>
    <comment ref="P89" authorId="0" shapeId="0">
      <text>
        <r>
          <rPr>
            <sz val="9"/>
            <color indexed="81"/>
            <rFont val="Tahoma"/>
            <family val="2"/>
            <charset val="186"/>
          </rPr>
          <t xml:space="preserve">Dėl Atgimimo aikštės rekonstravimo darbų eglė nebeplanuojama
</t>
        </r>
      </text>
    </comment>
    <comment ref="M91" authorId="0" shapeId="0">
      <text>
        <r>
          <rPr>
            <b/>
            <sz val="9"/>
            <color indexed="81"/>
            <rFont val="Tahoma"/>
            <family val="2"/>
            <charset val="186"/>
          </rPr>
          <t xml:space="preserve">87 kamerų priežiūra </t>
        </r>
        <r>
          <rPr>
            <sz val="9"/>
            <color indexed="81"/>
            <rFont val="Tahoma"/>
            <family val="2"/>
            <charset val="186"/>
          </rPr>
          <t xml:space="preserve">(58 esamos+8(Poilsio parkas)+7(Sąjūdžio parkas)+12(Gedminų alėja)+2(Minijos-Baltijos sankryža), 
</t>
        </r>
        <r>
          <rPr>
            <b/>
            <sz val="9"/>
            <color indexed="81"/>
            <rFont val="Tahoma"/>
            <family val="2"/>
            <charset val="186"/>
          </rPr>
          <t>60 kamerų priežiūra</t>
        </r>
        <r>
          <rPr>
            <sz val="9"/>
            <color indexed="81"/>
            <rFont val="Tahoma"/>
            <family val="2"/>
            <charset val="186"/>
          </rPr>
          <t xml:space="preserve"> (45 naujų kamerų, 7 naujos policijai pagal prašymą, 8 (Klaipėdos piliavietė ir Vasaros estradoje)
</t>
        </r>
        <r>
          <rPr>
            <b/>
            <sz val="9"/>
            <color indexed="81"/>
            <rFont val="Tahoma"/>
            <family val="2"/>
            <charset val="186"/>
          </rPr>
          <t xml:space="preserve">4 slaptos </t>
        </r>
        <r>
          <rPr>
            <sz val="9"/>
            <color indexed="81"/>
            <rFont val="Tahoma"/>
            <family val="2"/>
            <charset val="186"/>
          </rPr>
          <t xml:space="preserve">kameros
</t>
        </r>
        <r>
          <rPr>
            <b/>
            <sz val="9"/>
            <color indexed="81"/>
            <rFont val="Tahoma"/>
            <family val="2"/>
            <charset val="186"/>
          </rPr>
          <t xml:space="preserve">3 kameros </t>
        </r>
        <r>
          <rPr>
            <sz val="9"/>
            <color indexed="81"/>
            <rFont val="Tahoma"/>
            <family val="2"/>
            <charset val="186"/>
          </rPr>
          <t xml:space="preserve">Jono kalnelyje
Stebėjimo kamerų tinklo diegimas autobusų ir geležinkelių stotyse bei intermodaliniuose centruose </t>
        </r>
        <r>
          <rPr>
            <b/>
            <sz val="9"/>
            <color indexed="81"/>
            <rFont val="Tahoma"/>
            <family val="2"/>
            <charset val="186"/>
          </rPr>
          <t xml:space="preserve">(Darnaus judumo planas)
</t>
        </r>
      </text>
    </comment>
    <comment ref="E95" authorId="0" shapeId="0">
      <text>
        <r>
          <rPr>
            <sz val="9"/>
            <color indexed="81"/>
            <rFont val="Tahoma"/>
            <family val="2"/>
            <charset val="186"/>
          </rPr>
          <t>SPG STR3-12 Žemėtvarkos skyrius suformuoja sklypus, Turto skyrius registruoja, Mūd atlieka darbus.</t>
        </r>
      </text>
    </comment>
    <comment ref="F96" authorId="1" shapeId="0">
      <text>
        <r>
          <rPr>
            <b/>
            <sz val="9"/>
            <color indexed="81"/>
            <rFont val="Tahoma"/>
            <family val="2"/>
            <charset val="186"/>
          </rPr>
          <t>KEPS 4.5.1.</t>
        </r>
        <r>
          <rPr>
            <sz val="9"/>
            <color indexed="81"/>
            <rFont val="Tahoma"/>
            <family val="2"/>
            <charset val="186"/>
          </rPr>
          <t xml:space="preserve"> Išvalyti Danės upę, pastatyti ir išplėtoti mažus uostelius.</t>
        </r>
      </text>
    </comment>
    <comment ref="M99" authorId="0" shapeId="0">
      <text>
        <r>
          <rPr>
            <sz val="9"/>
            <color indexed="81"/>
            <rFont val="Tahoma"/>
            <family val="2"/>
            <charset val="186"/>
          </rPr>
          <t>Planuojama vieta – ant naujojo Klaipėdos baseino rytinės sienos (Taikos pr.).</t>
        </r>
      </text>
    </comment>
    <comment ref="H101" authorId="0" shapeId="0">
      <text>
        <r>
          <rPr>
            <sz val="9"/>
            <color indexed="81"/>
            <rFont val="Tahoma"/>
            <family val="2"/>
            <charset val="186"/>
          </rPr>
          <t>Visuomenininkai</t>
        </r>
      </text>
    </comment>
    <comment ref="E114"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F114"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M114" authorId="0" shapeId="0">
      <text>
        <r>
          <rPr>
            <sz val="9"/>
            <color indexed="81"/>
            <rFont val="Tahoma"/>
            <family val="2"/>
            <charset val="186"/>
          </rPr>
          <t>+Akmenos-Danės upės vidaus vandens kelią administruojantis darbuotojas</t>
        </r>
      </text>
    </comment>
    <comment ref="F121" authorId="0" shapeId="0">
      <text>
        <r>
          <rPr>
            <b/>
            <sz val="9"/>
            <color indexed="81"/>
            <rFont val="Tahoma"/>
            <family val="2"/>
            <charset val="186"/>
          </rPr>
          <t xml:space="preserve">P1, </t>
        </r>
        <r>
          <rPr>
            <sz val="9"/>
            <color indexed="81"/>
            <rFont val="Tahoma"/>
            <family val="2"/>
            <charset val="186"/>
          </rPr>
          <t>2.3. Municipalinio (vidaus vandenų) uosto atkūrimas Klaipėdoje</t>
        </r>
      </text>
    </comment>
    <comment ref="F122" authorId="1" shapeId="0">
      <text>
        <r>
          <rPr>
            <b/>
            <sz val="9"/>
            <color indexed="81"/>
            <rFont val="Tahoma"/>
            <family val="2"/>
            <charset val="186"/>
          </rPr>
          <t>KEPS 4.5.1.</t>
        </r>
        <r>
          <rPr>
            <sz val="9"/>
            <color indexed="81"/>
            <rFont val="Tahoma"/>
            <family val="2"/>
            <charset val="186"/>
          </rPr>
          <t xml:space="preserve"> Išvalyti Danės upę, pastatyti ir išplėtoti mažus uostelius.</t>
        </r>
      </text>
    </comment>
    <comment ref="M126" authorId="0" shapeId="0">
      <text>
        <r>
          <rPr>
            <sz val="9"/>
            <color indexed="81"/>
            <rFont val="Tahoma"/>
            <family val="2"/>
            <charset val="186"/>
          </rPr>
          <t>Viešieji tualetai: Stovyklų g. 4 –21,79 m2; Kopų g. 1A (I Melnragė) – 87,25 m2;</t>
        </r>
      </text>
    </comment>
    <comment ref="F130"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F134"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Q134" authorId="0" shapeId="0">
      <text>
        <r>
          <rPr>
            <sz val="9"/>
            <color indexed="81"/>
            <rFont val="Tahoma"/>
            <family val="2"/>
            <charset val="186"/>
          </rPr>
          <t>Kapitališkai suremontuota atraminių apsauginių įėjimo į</t>
        </r>
        <r>
          <rPr>
            <b/>
            <sz val="9"/>
            <color indexed="81"/>
            <rFont val="Tahoma"/>
            <family val="2"/>
            <charset val="186"/>
          </rPr>
          <t xml:space="preserve"> Girulių paplūdimį sienų. </t>
        </r>
        <r>
          <rPr>
            <sz val="9"/>
            <color indexed="81"/>
            <rFont val="Tahoma"/>
            <family val="2"/>
            <charset val="186"/>
          </rPr>
          <t>Užbaigtumas, proc. (darbų pradžia 2023 m.)</t>
        </r>
      </text>
    </comment>
    <comment ref="I135" authorId="0" shapeId="0">
      <text>
        <r>
          <rPr>
            <b/>
            <sz val="9"/>
            <color indexed="81"/>
            <rFont val="Tahoma"/>
            <family val="2"/>
            <charset val="186"/>
          </rPr>
          <t>projektų užbaigimui už atramines sienutes</t>
        </r>
        <r>
          <rPr>
            <sz val="9"/>
            <color indexed="81"/>
            <rFont val="Tahoma"/>
            <family val="2"/>
            <charset val="186"/>
          </rPr>
          <t xml:space="preserve">
</t>
        </r>
      </text>
    </comment>
    <comment ref="J136" authorId="2" shapeId="0">
      <text>
        <r>
          <rPr>
            <b/>
            <sz val="9"/>
            <color indexed="81"/>
            <rFont val="Tahoma"/>
            <family val="2"/>
            <charset val="186"/>
          </rPr>
          <t>Regina Intienė:</t>
        </r>
        <r>
          <rPr>
            <sz val="9"/>
            <color indexed="81"/>
            <rFont val="Tahoma"/>
            <family val="2"/>
            <charset val="186"/>
          </rPr>
          <t xml:space="preserve">
šia suma sumažinta kryptinio apšvietimo suma 6 progr.</t>
        </r>
      </text>
    </comment>
    <comment ref="F155"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O159" authorId="0" shapeId="0">
      <text>
        <r>
          <rPr>
            <sz val="9"/>
            <color indexed="81"/>
            <rFont val="Tahoma"/>
            <family val="2"/>
            <charset val="186"/>
          </rPr>
          <t xml:space="preserve">Pagal ES projektą 2019-10 </t>
        </r>
        <r>
          <rPr>
            <b/>
            <sz val="9"/>
            <color indexed="81"/>
            <rFont val="Tahoma"/>
            <family val="2"/>
            <charset val="186"/>
          </rPr>
          <t xml:space="preserve">įrengtos 3 greito krovimo elektromobilių įkrovimo stotelės </t>
        </r>
        <r>
          <rPr>
            <sz val="9"/>
            <color indexed="81"/>
            <rFont val="Tahoma"/>
            <family val="2"/>
            <charset val="186"/>
          </rPr>
          <t>(Jūrininkų pr. 16, S. Nėries g. 16A ir Taikos pr. 80). Savivaldybė 5 metus po stotelių įrengimo turi užtikrinti nemokamą elektromobilių įkrovimo paslaugų teikimą.</t>
        </r>
      </text>
    </comment>
    <comment ref="O165" authorId="0" shapeId="0">
      <text>
        <r>
          <rPr>
            <b/>
            <sz val="9"/>
            <color indexed="81"/>
            <rFont val="Tahoma"/>
            <family val="2"/>
            <charset val="186"/>
          </rPr>
          <t xml:space="preserve">2020 m. </t>
        </r>
        <r>
          <rPr>
            <sz val="9"/>
            <color indexed="81"/>
            <rFont val="Tahoma"/>
            <family val="2"/>
            <charset val="186"/>
          </rPr>
          <t xml:space="preserve">
1. Kadetų mokykla;
2. Simonaitytės kalnas;
3. Takas tarp Baltijos pr. 55 ir Baltijos pr. 63;
4. Vyturio g. nuo Laukininkų g. 11 iki Vyturio g. 23;
5. Takas nuo Vaivos g. iki Audros g.;
6. Įvažaivimas į aikštelę Pievų tako g. 14-16;
7. Kaštonų g,;
8. Takas nuo Turistų g. iki Pamario g.;
9. Reikjaviko g. 13;
10. Praėjimas nuo Veterinarijos g. iki Neringos sodų;
11. Praėjimas nuo Simonaitytės g. 29 iki Simon aitytės g. 33;
12. Nėgių g.;
13. Šlakių g.;
14. Žiobrių g.;
15.Skveras tarp H. Manto g. 38 ir 36.
16. Praėjime nuo Taikos pr. 8 iki Sausio 15-osios 2A</t>
        </r>
      </text>
    </comment>
    <comment ref="N186" authorId="0" shapeId="0">
      <text>
        <r>
          <rPr>
            <sz val="9"/>
            <color indexed="81"/>
            <rFont val="Tahoma"/>
            <family val="2"/>
            <charset val="186"/>
          </rPr>
          <t xml:space="preserve">2018 m. likutis dėl neįvykdymo - parengti techniniai projektai Šiltnamių g., Ukmergės g., Pievų Tako g. vnt.
Oto g.; take nuo Kretingos g. iki Geležinkelio g. 2A; praėjime nuo Taikos pr. 8 iki Sausio 15-osios 2A ; Daukanto g. 13a ir Pievų Tako g. 8, </t>
        </r>
        <r>
          <rPr>
            <b/>
            <sz val="9"/>
            <color indexed="81"/>
            <rFont val="Tahoma"/>
            <family val="2"/>
            <charset val="186"/>
          </rPr>
          <t xml:space="preserve">papildomi darbai: </t>
        </r>
        <r>
          <rPr>
            <sz val="9"/>
            <color indexed="81"/>
            <rFont val="Tahoma"/>
            <family val="2"/>
            <charset val="186"/>
          </rPr>
          <t>pravažiavimo nuo J. Janonio g. 5 iki Pievų  Pako g. 37 apšvietimo techninio darbo projekto parengimas ir Karlsronos aikštės apšvietimo techninio darbo projekto parengimas</t>
        </r>
      </text>
    </comment>
    <comment ref="N202" authorId="3" shapeId="0">
      <text>
        <r>
          <rPr>
            <b/>
            <sz val="9"/>
            <color indexed="81"/>
            <rFont val="Tahoma"/>
            <family val="2"/>
            <charset val="186"/>
          </rPr>
          <t>Saulina Paulauskiene:</t>
        </r>
        <r>
          <rPr>
            <sz val="9"/>
            <color indexed="81"/>
            <rFont val="Tahoma"/>
            <family val="2"/>
            <charset val="186"/>
          </rPr>
          <t xml:space="preserve">
bus parengtas tik projektas</t>
        </r>
      </text>
    </comment>
    <comment ref="E209" authorId="0" shapeId="0">
      <text>
        <r>
          <rPr>
            <sz val="9"/>
            <color indexed="81"/>
            <rFont val="Tahoma"/>
            <family val="2"/>
            <charset val="186"/>
          </rPr>
          <t>Numatoma nauja priemonė – naujų kapinių įrengimas. Būtinybę diktuoja esamų naujų laidojimo plotų mažėjimas. Bendra projekto vertė siekia apie 4 milijonus. Eurų.</t>
        </r>
      </text>
    </comment>
    <comment ref="Q209" authorId="0" shapeId="0">
      <text>
        <r>
          <rPr>
            <sz val="9"/>
            <color indexed="81"/>
            <rFont val="Tahoma"/>
            <family val="2"/>
            <charset val="186"/>
          </rPr>
          <t xml:space="preserve">buvo padaryta kapinių plėtros studija (rengė UPD). Studijos 6 variantas. </t>
        </r>
      </text>
    </comment>
    <comment ref="E215" authorId="0" shapeId="0">
      <text>
        <r>
          <rPr>
            <b/>
            <sz val="9"/>
            <color indexed="81"/>
            <rFont val="Tahoma"/>
            <family val="2"/>
            <charset val="186"/>
          </rPr>
          <t>Panaudotos lėšos:</t>
        </r>
        <r>
          <rPr>
            <sz val="9"/>
            <color indexed="81"/>
            <rFont val="Tahoma"/>
            <family val="2"/>
            <charset val="186"/>
          </rPr>
          <t xml:space="preserve">
2016 m. panaudota 102.200,97 Eur SB ;
2017 m. panaudota 398.962,26 Eur SB ir 41.418,00 Eur KT lėšų;
2018 m. planuojama panaudoti visa sumą 1.408.500,00 Eur SB
</t>
        </r>
        <r>
          <rPr>
            <b/>
            <sz val="9"/>
            <color indexed="81"/>
            <rFont val="Tahoma"/>
            <family val="2"/>
            <charset val="186"/>
          </rPr>
          <t>Namų valdos:</t>
        </r>
        <r>
          <rPr>
            <sz val="9"/>
            <color indexed="81"/>
            <rFont val="Tahoma"/>
            <family val="2"/>
            <charset val="186"/>
          </rPr>
          <t xml:space="preserve">
1.  UAB „Pempininkų valda“, 2. UAB „Laukininkų valda“, 3. UAB „Žardės būstas“, 4. UAB „Vingio būstas“, 5.  UAB „Jūros būstas“, 6. UAB „Vėtrungės būstas“, 7. UAB „Danės būstas“, 8. UAB „Vitės valdos“, 9. UAB „Paslaugos būstui“, 10. UAB „Debreceno valdos“</t>
        </r>
      </text>
    </comment>
    <comment ref="F221" authorId="0" shapeId="0">
      <text>
        <r>
          <rPr>
            <b/>
            <sz val="9"/>
            <color indexed="81"/>
            <rFont val="Tahoma"/>
            <family val="2"/>
            <charset val="186"/>
          </rPr>
          <t>P1,</t>
        </r>
        <r>
          <rPr>
            <sz val="9"/>
            <color indexed="81"/>
            <rFont val="Tahoma"/>
            <family val="2"/>
            <charset val="186"/>
          </rPr>
          <t xml:space="preserve"> 3.4. Daugiabučių namų kvartalinės renovacijos skatinimas;</t>
        </r>
        <r>
          <rPr>
            <b/>
            <sz val="9"/>
            <color indexed="81"/>
            <rFont val="Tahoma"/>
            <family val="2"/>
            <charset val="186"/>
          </rPr>
          <t xml:space="preserve">
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O222" authorId="0" shapeId="0">
      <text>
        <r>
          <rPr>
            <b/>
            <sz val="9"/>
            <color indexed="81"/>
            <rFont val="Tahoma"/>
            <family val="2"/>
            <charset val="186"/>
          </rPr>
          <t>2020 m.</t>
        </r>
        <r>
          <rPr>
            <sz val="9"/>
            <color indexed="81"/>
            <rFont val="Tahoma"/>
            <family val="2"/>
            <charset val="186"/>
          </rPr>
          <t xml:space="preserve">
(plotas 64668 m2 + padidintas 78735 m2=143403 m2) . Papildomas poreikis SB lėšų +965,6 tūkst. Eur, VB+195,6, ES+2216,9 tūkst. Eur.</t>
        </r>
      </text>
    </comment>
    <comment ref="M224" authorId="0" shapeId="0">
      <text>
        <r>
          <rPr>
            <sz val="9"/>
            <color indexed="81"/>
            <rFont val="Tahoma"/>
            <family val="2"/>
            <charset val="186"/>
          </rPr>
          <t xml:space="preserve">iš viso įrengta automobilių aikštelių - 446 vnt.
</t>
        </r>
      </text>
    </comment>
    <comment ref="M225" authorId="0" shapeId="0">
      <text>
        <r>
          <rPr>
            <sz val="9"/>
            <color indexed="81"/>
            <rFont val="Tahoma"/>
            <family val="2"/>
            <charset val="186"/>
          </rPr>
          <t>Iš viso įrengta apšvietimo atramų - 259 vnt.</t>
        </r>
        <r>
          <rPr>
            <sz val="9"/>
            <color indexed="81"/>
            <rFont val="Tahoma"/>
            <family val="2"/>
            <charset val="186"/>
          </rPr>
          <t xml:space="preserve">
</t>
        </r>
      </text>
    </comment>
    <comment ref="P231" authorId="0" shapeId="0">
      <text>
        <r>
          <rPr>
            <b/>
            <sz val="9"/>
            <color indexed="81"/>
            <rFont val="Tahoma"/>
            <family val="2"/>
            <charset val="186"/>
          </rPr>
          <t>Rūko g. 33</t>
        </r>
        <r>
          <rPr>
            <sz val="9"/>
            <color indexed="81"/>
            <rFont val="Tahoma"/>
            <family val="2"/>
            <charset val="186"/>
          </rPr>
          <t xml:space="preserve">
</t>
        </r>
      </text>
    </comment>
    <comment ref="O233" authorId="0" shapeId="0">
      <text>
        <r>
          <rPr>
            <b/>
            <sz val="9"/>
            <color indexed="81"/>
            <rFont val="Tahoma"/>
            <family val="2"/>
            <charset val="186"/>
          </rPr>
          <t>2 aikštelės :</t>
        </r>
        <r>
          <rPr>
            <sz val="9"/>
            <color indexed="81"/>
            <rFont val="Tahoma"/>
            <family val="2"/>
            <charset val="186"/>
          </rPr>
          <t xml:space="preserve">
Mogiliovo g. 14, 16, Klaipėdoje, Reikjaviko g. 1, Klaipėdoje</t>
        </r>
      </text>
    </comment>
    <comment ref="N258" authorId="0" shapeId="0">
      <text>
        <r>
          <rPr>
            <sz val="9"/>
            <color indexed="81"/>
            <rFont val="Tahoma"/>
            <family val="2"/>
            <charset val="186"/>
          </rPr>
          <t xml:space="preserve">2019 m. planuojama rekonstruoti lietaus nuotekų tinklus Kauno g. 31, 33, 35, Malūnininkų g. 1 ir Taikos pr. 4A–5 paviršinių nuotekų kolektorius.
2019 m. planuotų darbų Kauno g. 31-35 nepavyks įvykdyti, kadangi techninis projektas bus parengtas tik metų pabaigoje, todėl darbai nusikelia į 2020 m. Be to, buvo nutrauktas ir bus kartojamas viešasis pirkimas dėl kolektoriaus ir paviršinių nuotekų tinklų KLASCO teritorijoje rekonstravimo (tikslinama techninė specifikacija, iškilo klausimų dėl aplink šią teritoriją vykstančių projektų). </t>
        </r>
      </text>
    </comment>
    <comment ref="O258" authorId="0" shapeId="0">
      <text>
        <r>
          <rPr>
            <sz val="9"/>
            <color indexed="81"/>
            <rFont val="Tahoma"/>
            <family val="2"/>
            <charset val="186"/>
          </rPr>
          <t>1. Trilapio g ir Liepų g.;
2. Rumpiškės ir Taikos pr.jungiamoji gatvė;
3. Renetų g. ištekėjimas per Tilžės turgų.</t>
        </r>
      </text>
    </comment>
    <comment ref="O259" authorId="3" shapeId="0">
      <text>
        <r>
          <rPr>
            <sz val="9"/>
            <color indexed="81"/>
            <rFont val="Tahoma"/>
            <family val="2"/>
            <charset val="186"/>
          </rPr>
          <t xml:space="preserve">Kauno g. 31, 33, 35 (UAB Vanduja) – 260 m,
Kanto g. (UAB Orlis)  - 377 m.
</t>
        </r>
      </text>
    </comment>
    <comment ref="E263" authorId="0" shapeId="0">
      <text>
        <r>
          <rPr>
            <b/>
            <sz val="9"/>
            <color indexed="81"/>
            <rFont val="Tahoma"/>
            <family val="2"/>
            <charset val="186"/>
          </rPr>
          <t>2016-09-23 STR3-12,</t>
        </r>
        <r>
          <rPr>
            <sz val="9"/>
            <color indexed="81"/>
            <rFont val="Tahoma"/>
            <family val="2"/>
            <charset val="186"/>
          </rPr>
          <t xml:space="preserve"> 2016 m. parengta teritorijos išvystymo galimybių studija. Projektas apima gatvių nutiesimą, vandentiekį, nuotekas, šilumos tinklus, apšvietimą, elektros tinklus, dujas. </t>
        </r>
      </text>
    </comment>
    <comment ref="I276" authorId="0" shapeId="0">
      <text>
        <r>
          <rPr>
            <b/>
            <sz val="9"/>
            <color indexed="81"/>
            <rFont val="Tahoma"/>
            <family val="2"/>
            <charset val="186"/>
          </rPr>
          <t xml:space="preserve">9101,6
</t>
        </r>
        <r>
          <rPr>
            <sz val="9"/>
            <color indexed="81"/>
            <rFont val="Tahoma"/>
            <family val="2"/>
            <charset val="186"/>
          </rPr>
          <t xml:space="preserve">
</t>
        </r>
      </text>
    </comment>
    <comment ref="J276" authorId="0" shapeId="0">
      <text>
        <r>
          <rPr>
            <b/>
            <sz val="9"/>
            <color indexed="81"/>
            <rFont val="Tahoma"/>
            <family val="2"/>
            <charset val="186"/>
          </rPr>
          <t>biudžetas 15335,8</t>
        </r>
      </text>
    </comment>
  </commentList>
</comments>
</file>

<file path=xl/comments3.xml><?xml version="1.0" encoding="utf-8"?>
<comments xmlns="http://schemas.openxmlformats.org/spreadsheetml/2006/main">
  <authors>
    <author>Audra Cepiene</author>
    <author>Saulina Paulauskiene</author>
  </authors>
  <commentList>
    <comment ref="E15" authorId="0" shapeId="0">
      <text>
        <r>
          <rPr>
            <b/>
            <sz val="9"/>
            <color indexed="81"/>
            <rFont val="Tahoma"/>
            <family val="2"/>
            <charset val="186"/>
          </rPr>
          <t>Klaipėdos miesto ekonominės plėtros strategija ir įgyvendinimo veiksmų planas iki 2030 metų, 3.1.13 priemonė</t>
        </r>
        <r>
          <rPr>
            <sz val="9"/>
            <color indexed="81"/>
            <rFont val="Tahoma"/>
            <family val="2"/>
            <charset val="186"/>
          </rPr>
          <t xml:space="preserve">
</t>
        </r>
      </text>
    </comment>
    <comment ref="E19"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Q37" authorId="0" shapeId="0">
      <text>
        <r>
          <rPr>
            <sz val="9"/>
            <color indexed="81"/>
            <rFont val="Tahoma"/>
            <family val="2"/>
            <charset val="186"/>
          </rPr>
          <t>Iš viso mieste yra 1,5 tūkst. vnt. šiukšliadėžių</t>
        </r>
      </text>
    </comment>
    <comment ref="Q38" authorId="0" shapeId="0">
      <text>
        <r>
          <rPr>
            <sz val="9"/>
            <color indexed="81"/>
            <rFont val="Tahoma"/>
            <family val="2"/>
            <charset val="186"/>
          </rPr>
          <t>Iš viso mieste yra 1,1 tūkst. vnt. suoliuk</t>
        </r>
      </text>
    </comment>
    <comment ref="E44"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48"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0"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D54" authorId="0" shapeId="0">
      <text>
        <r>
          <rPr>
            <sz val="9"/>
            <color indexed="81"/>
            <rFont val="Tahoma"/>
            <family val="2"/>
            <charset val="186"/>
          </rPr>
          <t xml:space="preserve">Skveras ties prekybos centru „Maxima“ (Šilutės pl. 40A) ir pėsčiųjų ir dviračių tako nuo 
Šilutės pl. iki Taikos pr. atnaujinimas 
</t>
        </r>
      </text>
    </comment>
    <comment ref="E54"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6"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56" authorId="0" shapeId="0">
      <text>
        <r>
          <rPr>
            <sz val="9"/>
            <color indexed="81"/>
            <rFont val="Tahoma"/>
            <family val="2"/>
            <charset val="186"/>
          </rPr>
          <t>Visuomenininkai</t>
        </r>
      </text>
    </comment>
    <comment ref="E58"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81"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D96"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E96"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E114"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R124" authorId="1" shapeId="0">
      <text>
        <r>
          <rPr>
            <sz val="9"/>
            <color indexed="81"/>
            <rFont val="Tahoma"/>
            <family val="2"/>
            <charset val="186"/>
          </rPr>
          <t>pravažiavimo nuo J. Janonio g. 5 iki Pievų  Pako g. 37 apšvietimo techninio darbo projekto parengimas ir Karlsronos aikštės apšvietimo techninio darbo projekto parengimas</t>
        </r>
      </text>
    </comment>
    <comment ref="D128" authorId="0" shapeId="0">
      <text>
        <r>
          <rPr>
            <sz val="9"/>
            <color indexed="81"/>
            <rFont val="Tahoma"/>
            <family val="2"/>
            <charset val="186"/>
          </rPr>
          <t xml:space="preserve">Apšvietimo projektas Smiltynės pagrindiniame take rengiamas kartu su Smiltynės atraminės sienutės  projektu.     </t>
        </r>
      </text>
    </comment>
    <comment ref="E148" authorId="0" shapeId="0">
      <text>
        <r>
          <rPr>
            <sz val="9"/>
            <color indexed="81"/>
            <rFont val="Tahoma"/>
            <family val="2"/>
            <charset val="186"/>
          </rPr>
          <t>KSP 2.4.2.2.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51" authorId="0" shapeId="0">
      <text>
        <r>
          <rPr>
            <sz val="9"/>
            <color indexed="81"/>
            <rFont val="Tahoma"/>
            <family val="2"/>
            <charset val="186"/>
          </rPr>
          <t>2.4.1.2. KSP Sutvarkyti ir pritaikyti visuomenės arba rekreaciniams poreikiams Danės upės slėnio ir žiočių teritorijas; Danės upę pritaikyti laivybai, rekonstruoti Danės upės krantines nuo Biržos tilto iki Mokyklos gatvės tilto:</t>
        </r>
      </text>
    </comment>
    <comment ref="E154" authorId="0" shapeId="0">
      <text>
        <r>
          <rPr>
            <sz val="9"/>
            <color indexed="81"/>
            <rFont val="Tahoma"/>
            <family val="2"/>
            <charset val="186"/>
          </rPr>
          <t xml:space="preserve">KSP 2.4.2.2.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
P6, Klaipėdos miesto ekonominės plėtros strategija ir įgyvendinimo veiksmų planas iki 2030 metų, 3.1.5. "Intencyvinti linijinį centrą Taikos pr. ašyje" </t>
        </r>
      </text>
    </comment>
    <comment ref="E157" authorId="0" shapeId="0">
      <text>
        <r>
          <rPr>
            <sz val="9"/>
            <color indexed="81"/>
            <rFont val="Tahoma"/>
            <family val="2"/>
            <charset val="186"/>
          </rPr>
          <t xml:space="preserve">2.4.2.5. KSP priemonė: Atnaujinti gyvenamųjų kvartalų centrines aikštes ir kitas viešąsias erdves, 3.1.1.1. priemonė "Išvystyti senąją turgavietę", Klaipėdos miesto ekonominės plėtros strategija ir įgyvendinimo veiksmų planas iki 2030 metų </t>
        </r>
      </text>
    </comment>
    <comment ref="E16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63"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66" authorId="0" shapeId="0">
      <text>
        <r>
          <rPr>
            <sz val="9"/>
            <color indexed="81"/>
            <rFont val="Tahoma"/>
            <family val="2"/>
            <charset val="186"/>
          </rPr>
          <t>KSP 2.4.2.2.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73" authorId="0" shapeId="0">
      <text>
        <r>
          <rPr>
            <b/>
            <sz val="9"/>
            <color indexed="81"/>
            <rFont val="Tahoma"/>
            <family val="2"/>
            <charset val="186"/>
          </rPr>
          <t>2.4.1.2</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R192" authorId="0" shapeId="0">
      <text>
        <r>
          <rPr>
            <sz val="9"/>
            <color indexed="81"/>
            <rFont val="Tahoma"/>
            <family val="2"/>
            <charset val="186"/>
          </rPr>
          <t>techninio projekto parengimas</t>
        </r>
        <r>
          <rPr>
            <sz val="9"/>
            <color indexed="81"/>
            <rFont val="Tahoma"/>
            <family val="2"/>
            <charset val="186"/>
          </rPr>
          <t xml:space="preserve">
</t>
        </r>
      </text>
    </comment>
    <comment ref="D198" authorId="0" shapeId="0">
      <text>
        <r>
          <rPr>
            <b/>
            <sz val="9"/>
            <color indexed="81"/>
            <rFont val="Tahoma"/>
            <family val="2"/>
            <charset val="186"/>
          </rPr>
          <t>Panaudotos lėšos:</t>
        </r>
        <r>
          <rPr>
            <sz val="9"/>
            <color indexed="81"/>
            <rFont val="Tahoma"/>
            <family val="2"/>
            <charset val="186"/>
          </rPr>
          <t xml:space="preserve">
2016 m. panaudota 102.200,97 Eur SB ;
2017 m. panaudota 398.962,26 Eur SB ir 41.418,00 Eur KT lėšų;
2018 m. planuojama panaudoti visa sumą 1.408.500,00 Eur SB
</t>
        </r>
        <r>
          <rPr>
            <b/>
            <sz val="9"/>
            <color indexed="81"/>
            <rFont val="Tahoma"/>
            <family val="2"/>
            <charset val="186"/>
          </rPr>
          <t>Namų valdos:</t>
        </r>
        <r>
          <rPr>
            <sz val="9"/>
            <color indexed="81"/>
            <rFont val="Tahoma"/>
            <family val="2"/>
            <charset val="186"/>
          </rPr>
          <t xml:space="preserve">
1.  UAB „Pempininkų valda“, 2. UAB „Laukininkų valda“, 3. UAB „Žardės būstas“, 4. UAB „Vingio būstas“, 5.  UAB „Jūros būstas“, 6. UAB „Vėtrungės būstas“, 7. UAB „Danės būstas“, 8. UAB „Vitės valdos“, 9. UAB „Paslaugos būstui“, 10. UAB „Debreceno valdos“</t>
        </r>
      </text>
    </comment>
    <comment ref="R201" authorId="1" shapeId="0">
      <text>
        <r>
          <rPr>
            <b/>
            <sz val="9"/>
            <color indexed="81"/>
            <rFont val="Tahoma"/>
            <family val="2"/>
            <charset val="186"/>
          </rPr>
          <t>Saulina Paulauskiene:</t>
        </r>
        <r>
          <rPr>
            <sz val="9"/>
            <color indexed="81"/>
            <rFont val="Tahoma"/>
            <family val="2"/>
            <charset val="186"/>
          </rPr>
          <t xml:space="preserve">
2019 m. planuojama įrengti ir atnaujinti  726 vietas:
- Liubeko g. nuo 7 iki 9 – 108 vietos;
- Vingio g. 1, Šilutės pl. 82-88- 187 vietos;
- Taikos pr. 21, Taikos pr. 55-57- 115 vietų;
- Liepų g. 40-46A – 50 vietų;
- Dzūkų g. 6 – 26 vietos;
- Panevėžio g. 5-19 – 240 vietų.
</t>
        </r>
      </text>
    </comment>
    <comment ref="I245" authorId="0" shapeId="0">
      <text>
        <r>
          <rPr>
            <b/>
            <sz val="9"/>
            <color indexed="81"/>
            <rFont val="Tahoma"/>
            <family val="2"/>
            <charset val="186"/>
          </rPr>
          <t xml:space="preserve">9101,6
</t>
        </r>
        <r>
          <rPr>
            <sz val="9"/>
            <color indexed="81"/>
            <rFont val="Tahoma"/>
            <family val="2"/>
            <charset val="186"/>
          </rPr>
          <t xml:space="preserve">
</t>
        </r>
      </text>
    </comment>
    <comment ref="I253" authorId="0" shapeId="0">
      <text>
        <r>
          <rPr>
            <b/>
            <sz val="9"/>
            <color indexed="81"/>
            <rFont val="Tahoma"/>
            <family val="2"/>
            <charset val="186"/>
          </rPr>
          <t>2801,2</t>
        </r>
        <r>
          <rPr>
            <sz val="9"/>
            <color indexed="81"/>
            <rFont val="Tahoma"/>
            <family val="2"/>
            <charset val="186"/>
          </rPr>
          <t xml:space="preserve">
</t>
        </r>
      </text>
    </comment>
  </commentList>
</comments>
</file>

<file path=xl/sharedStrings.xml><?xml version="1.0" encoding="utf-8"?>
<sst xmlns="http://schemas.openxmlformats.org/spreadsheetml/2006/main" count="1597" uniqueCount="497">
  <si>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</si>
  <si>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</si>
  <si>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</si>
  <si>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</si>
  <si>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</si>
  <si>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</si>
  <si>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</si>
  <si>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</si>
  <si>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</si>
  <si>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</si>
  <si>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</si>
  <si>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</si>
  <si>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</si>
  <si>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</si>
  <si>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</si>
  <si>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</si>
  <si>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</si>
  <si>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Veiklos plano tikslo kodas</t>
  </si>
  <si>
    <r>
      <t xml:space="preserve">Savivaldybės biudžeto lėšos </t>
    </r>
    <r>
      <rPr>
        <b/>
        <sz val="10"/>
        <rFont val="Times New Roman"/>
        <family val="1"/>
        <charset val="186"/>
      </rPr>
      <t>SB</t>
    </r>
  </si>
  <si>
    <r>
      <t xml:space="preserve">Specialiosios programos lėšos (pajamos už atsitiktines paslaugas) </t>
    </r>
    <r>
      <rPr>
        <b/>
        <sz val="10"/>
        <rFont val="Times New Roman"/>
        <family val="1"/>
        <charset val="186"/>
      </rPr>
      <t>SB(SP)</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</si>
  <si>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</si>
  <si>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</si>
  <si>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</si>
  <si>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</si>
  <si>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</si>
  <si>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MIESTO INFRASTRUKTŪROS OBJEKTŲ PRIEŽIŪROS IR MODERNIZAVIMO PROGRAMOS (NR. 07)</t>
  </si>
  <si>
    <t>03</t>
  </si>
  <si>
    <t>6</t>
  </si>
  <si>
    <t>06</t>
  </si>
  <si>
    <t>08</t>
  </si>
  <si>
    <t>Fontanų priežiūra, remontas ir atnaujinimas</t>
  </si>
  <si>
    <t>Miesto viešų teritorijų inventoriaus priežiūra, įrengimas ir įsigijimas</t>
  </si>
  <si>
    <t>Prižiūrima fontanų, vnt.</t>
  </si>
  <si>
    <t>Įsigyta šiukšliadėžių, vnt.</t>
  </si>
  <si>
    <t>04</t>
  </si>
  <si>
    <t>05</t>
  </si>
  <si>
    <t>07</t>
  </si>
  <si>
    <t>Miesto viešųjų tualetų remontas, priežiūra ir nuoma</t>
  </si>
  <si>
    <t>Nugriauta statinių, vnt.</t>
  </si>
  <si>
    <t>Prižiūrima viešųjų tualetų, vnt.</t>
  </si>
  <si>
    <t>SB(SP)</t>
  </si>
  <si>
    <t>Siekti, kad miesto viešosios erdvės būtų tvarkingos, jaukios ir saugios</t>
  </si>
  <si>
    <t>Užtikrinti laidojimo paslaugų teikimą, miesto kapinių priežiūrą ir poreikius atitinkantį laidojimo vietų skaičių</t>
  </si>
  <si>
    <t>Eksploatuoti, remontuoti ir plėtoti inžinerinio aprūpinimo sistemas</t>
  </si>
  <si>
    <t>Įrengta kapaviečių ženklų, vnt.</t>
  </si>
  <si>
    <t>07 Miesto infrastruktūros objektų priežiūros ir modernizavimo programa</t>
  </si>
  <si>
    <t>5</t>
  </si>
  <si>
    <t>I</t>
  </si>
  <si>
    <t>ES</t>
  </si>
  <si>
    <t>Kt</t>
  </si>
  <si>
    <t>1</t>
  </si>
  <si>
    <t>Suvartota el. energijos, tūkst. MWh</t>
  </si>
  <si>
    <t>Mirusių (žuvusių) žmonių palaikų pervežimas iš įvykio vietų, neatpažintų, vienišų ir mirusių, kuriuos artimieji atsisako laidoti, žmonių palaikų laikinas laikymas (saugojimas), palaidojimas savivaldybės lėšomis</t>
  </si>
  <si>
    <t>Švaros ir tvarkos užtikrinimas bendro naudojimo teritorijose:</t>
  </si>
  <si>
    <t>Miesto paplūdimių priežiūros organizavimas:</t>
  </si>
  <si>
    <t>Miesto viešųjų erdvių ir gatvių apšvietimo užtikrinimas:</t>
  </si>
  <si>
    <t xml:space="preserve">Iš viso  programai: </t>
  </si>
  <si>
    <t xml:space="preserve">Statinių, keliančių pavojų gyvybei ir sveikatai, griovimas </t>
  </si>
  <si>
    <t>SB(L)</t>
  </si>
  <si>
    <r>
      <t xml:space="preserve">Programų lėšų likučių laikinai laisvos lėšos </t>
    </r>
    <r>
      <rPr>
        <b/>
        <sz val="10"/>
        <rFont val="Times New Roman"/>
        <family val="1"/>
        <charset val="186"/>
      </rPr>
      <t>SB(L)</t>
    </r>
  </si>
  <si>
    <t>Strateginis tikslas 02. Kurti mieste patrauklią, švarią ir saugią gyvenamąją aplinką</t>
  </si>
  <si>
    <t>Teikti miesto gyventojams kokybiškas komunalines ir viešųjų erdvių priežiūros paslaugas</t>
  </si>
  <si>
    <t>Pirties paslaugų teikimas Smiltynės paplūdimyje</t>
  </si>
  <si>
    <t>09</t>
  </si>
  <si>
    <t>P2.4.1.2</t>
  </si>
  <si>
    <t>P2.4.2.8</t>
  </si>
  <si>
    <r>
      <t xml:space="preserve">Vietinių rinkliavų lėšos </t>
    </r>
    <r>
      <rPr>
        <b/>
        <sz val="10"/>
        <rFont val="Times New Roman"/>
        <family val="1"/>
        <charset val="186"/>
      </rPr>
      <t>SB(VR)</t>
    </r>
  </si>
  <si>
    <t>P2</t>
  </si>
  <si>
    <t>Savivaldybei priskirtų teritorijų sanitarinis valymas, parkų, skverų, žaliųjų plotų želdinimas ir aplinkotvarka</t>
  </si>
  <si>
    <t>Nuomojama kilnojamųjų tualetų švenčių metu, vnt.</t>
  </si>
  <si>
    <t>Eksploatuojama šviestuvų, tūkst. vnt.</t>
  </si>
  <si>
    <t>Papriemonės kodas</t>
  </si>
  <si>
    <t>Vykdytojas (skyrius / asmuo)</t>
  </si>
  <si>
    <t>Viešosios tvarkos skyrius</t>
  </si>
  <si>
    <t>Laidojimo paslaugų teikimas ir kapinių priežiūros organizavimas:</t>
  </si>
  <si>
    <t>Įsigyta suoliukų, vnt.</t>
  </si>
  <si>
    <t>Prižiūrima gertuvių Poilsio parke, vnt.</t>
  </si>
  <si>
    <t>Planas</t>
  </si>
  <si>
    <t xml:space="preserve">Palaidota mirusiųjų, skaičius </t>
  </si>
  <si>
    <t>BĮ „Klaipėdos paplūdimiai“ veiklos organizavimas</t>
  </si>
  <si>
    <t>SB(SPL)</t>
  </si>
  <si>
    <t xml:space="preserve">Savivaldybės biudžetas, iš jo: </t>
  </si>
  <si>
    <r>
      <t xml:space="preserve">Pajamų įmokų už patalpų nuomą likutis </t>
    </r>
    <r>
      <rPr>
        <b/>
        <sz val="10"/>
        <rFont val="Times New Roman"/>
        <family val="1"/>
        <charset val="186"/>
      </rPr>
      <t>SB(SPL)</t>
    </r>
  </si>
  <si>
    <r>
      <t xml:space="preserve">Vietinių rinkliavų lėšų likutis </t>
    </r>
    <r>
      <rPr>
        <b/>
        <sz val="10"/>
        <rFont val="Times New Roman"/>
        <family val="1"/>
        <charset val="186"/>
      </rPr>
      <t>SB(VRL)</t>
    </r>
  </si>
  <si>
    <r>
      <t xml:space="preserve">Valstybės biudžeto specialiosios tikslinės dotacijos lėšos </t>
    </r>
    <r>
      <rPr>
        <b/>
        <sz val="10"/>
        <rFont val="Times New Roman"/>
        <family val="1"/>
        <charset val="186"/>
      </rPr>
      <t>SB(VB)</t>
    </r>
  </si>
  <si>
    <r>
      <t xml:space="preserve">Žemės pardavimų likučio lėšos </t>
    </r>
    <r>
      <rPr>
        <b/>
        <sz val="10"/>
        <rFont val="Times New Roman"/>
        <family val="1"/>
        <charset val="186"/>
      </rPr>
      <t>SB(ŽPL)</t>
    </r>
  </si>
  <si>
    <t>Miesto aikščių, skverų ir kitų bendro naudojimo teritorijų atnaujinimas ir priežiūra:</t>
  </si>
  <si>
    <t>Parengtas techninis projektas, vnt.</t>
  </si>
  <si>
    <t>P2.4.2.2</t>
  </si>
  <si>
    <t>P2.4.2.3</t>
  </si>
  <si>
    <t xml:space="preserve">Daugiabučių gyvenamųjų namų kvartalų priežiūros vykdymas: </t>
  </si>
  <si>
    <t>Gatvių ir viešųjų erdvių apšvietimo organizavimo funkcijos įgyvendinimas</t>
  </si>
  <si>
    <t>Suženklinta automobilių stovėjimo aikštelių (prie kapinių), vnt.</t>
  </si>
  <si>
    <t>Atstatyta vandens kolonėlių Joniškės ir Lėbartų kapinėse, vnt.</t>
  </si>
  <si>
    <t>I, P2.4.2.4</t>
  </si>
  <si>
    <t>tūkst. Eur</t>
  </si>
  <si>
    <t xml:space="preserve">Įsigyta gėlinių, vnt. </t>
  </si>
  <si>
    <t xml:space="preserve">Prižiūrima kapinių  (įskaitant senąsias kapinaites), vnt. </t>
  </si>
  <si>
    <t xml:space="preserve"> TIKSLŲ, UŽDAVINIŲ, PRIEMONIŲ, PRIEMONIŲ IŠLAIDŲ IR PRODUKTO KRITERIJŲ DETALI SUVESTINĖ</t>
  </si>
  <si>
    <r>
      <t>Gėlynų atnaujinimas ir įrengimas</t>
    </r>
    <r>
      <rPr>
        <i/>
        <sz val="10"/>
        <rFont val="Times New Roman"/>
        <family val="1"/>
        <charset val="186"/>
      </rPr>
      <t xml:space="preserve"> </t>
    </r>
  </si>
  <si>
    <t>P2.3.2.5</t>
  </si>
  <si>
    <t>Aiškinamojo rašto priedas Nr.3</t>
  </si>
  <si>
    <t>2019-ieji metai</t>
  </si>
  <si>
    <t>Vingio mikrorajono aikštės atnaujinimas</t>
  </si>
  <si>
    <t>500</t>
  </si>
  <si>
    <t>Mėlynosios vėliavos programos koordinavimo paslaugų įsigijimas</t>
  </si>
  <si>
    <t>Beglobių gyvūnų gerovės ir apsaugos priemonių įgyvendinimas (gyvūnų gaudymas, surinkimas, sterilizacija, karantinavimas, eutanazija ir kt.)</t>
  </si>
  <si>
    <t>Atlikta aikštės atnaujinimo darbų. Užbaigtumas, proc.</t>
  </si>
  <si>
    <t>Atlikta aikštės sutvarkymo darbų. Užbaigtumas, proc.</t>
  </si>
  <si>
    <t>Prižiūrima konteinerinių tualetų, vnt.</t>
  </si>
  <si>
    <t>Nuolatinių darbuotojų skaičius</t>
  </si>
  <si>
    <t>Sezoninių darbuotojų skaičius</t>
  </si>
  <si>
    <t>Eksploatuojama kamerų, vnt.</t>
  </si>
  <si>
    <t xml:space="preserve">Atlikta aikštės sutvarkymo darbų. Užbaigtumas, proc. </t>
  </si>
  <si>
    <t xml:space="preserve">Atlikta krantinių ir prieigų sutvarkymo darbų. Užbaigtumas, proc. </t>
  </si>
  <si>
    <t xml:space="preserve">Atlikta pėsčiųjų tako sutvarkymo darbų. Užbaigtumas, proc. </t>
  </si>
  <si>
    <t xml:space="preserve">Išvežta mirusiųjų iš įvykio vietos,  skaičius </t>
  </si>
  <si>
    <t xml:space="preserve">Mirusiųjų palaikų laikinas laikymas (saugojimas), skaičius </t>
  </si>
  <si>
    <t xml:space="preserve">47,4 ha Medelyno gyvenamojo rajono infrastruktūros išvystymas. I etapas
</t>
  </si>
  <si>
    <t>Skvero Bokštų gatvėje sutvarkymas</t>
  </si>
  <si>
    <t>Interaktyvios tikslinės teritorijos ir susietų teritorijų ribų žemėlapio aplikacijos sukūrimas</t>
  </si>
  <si>
    <t xml:space="preserve">Parengta žemėlapio aplikacija,  skirta 2014–2020 m. integruotų investicijų programos projektų viešinimui, vnt. </t>
  </si>
  <si>
    <t>90</t>
  </si>
  <si>
    <t>Aikštės prie Santuokų rūmų atnaujinimas</t>
  </si>
  <si>
    <r>
      <t xml:space="preserve">Klaipėdos valstybinio jūrų uosto direkcijos lėšos </t>
    </r>
    <r>
      <rPr>
        <b/>
        <sz val="10"/>
        <rFont val="Times New Roman"/>
        <family val="1"/>
        <charset val="186"/>
      </rPr>
      <t>KVJUD</t>
    </r>
  </si>
  <si>
    <t>K. Donelaičio aikštės sutvarkymas</t>
  </si>
  <si>
    <t>Skvero tarp Puodžių g. ir Bokštų g., skirto Vydūno paminklui įrengti, sutvarkymas</t>
  </si>
  <si>
    <t>Užtikrinti švarą ir tvarką daugiabučių gyvenamųjų namų kvartaluose, skatinti gyventojus renovuoti, prižiūrėti ir saugoti savo turtą</t>
  </si>
  <si>
    <t>Pastatyta skulptūra, vnt.</t>
  </si>
  <si>
    <t>I, P3.2.1.7</t>
  </si>
  <si>
    <t>Prižiūrima stacionarių tualetų, vnt.</t>
  </si>
  <si>
    <t>Želdinių tvarkymas;</t>
  </si>
  <si>
    <t xml:space="preserve">Daugiabučių namų savininkų bendrijų (DNSB) pirmininkų mokymų organizavimas </t>
  </si>
  <si>
    <t xml:space="preserve">Paimta, sugauta gyvūnų, vnt. </t>
  </si>
  <si>
    <t>Atlikta beglobių kačių sterilizacijų, vnt.</t>
  </si>
  <si>
    <t>Klaipėdos miesto integruotos teritorijos vystymo programos projektų įgyvendinimas:</t>
  </si>
  <si>
    <t>Prižiūrima informacinės sistemos objektų (nuorodų, stendų), vnt.</t>
  </si>
  <si>
    <t>Remontuota suoliukų, vnt.</t>
  </si>
  <si>
    <t>Remontuota šiukšliadėžių, vnt.</t>
  </si>
  <si>
    <t>Įgyvendintas projektas, vnt.</t>
  </si>
  <si>
    <t>Atlikta skvero rekonstravimo darbų. Užbaigtumas, proc.</t>
  </si>
  <si>
    <t>Organizuota mokymų, vnt.</t>
  </si>
  <si>
    <t>Įrengta apšvietimo infrastruktūros kiemuose, tūkst. m.</t>
  </si>
  <si>
    <t xml:space="preserve">Atlikta viešosios erdvės (9075 m²) sutvarkymo darbų. Užbaigtumas, proc. </t>
  </si>
  <si>
    <t xml:space="preserve">Viešosios erdvės prie buvusio „Vaidilos“ kino teatro konversija </t>
  </si>
  <si>
    <t xml:space="preserve">Atgimimo aikštės sutvarkymas, didinant patrauklumą investicijoms, skatinant lankytojų srautus </t>
  </si>
  <si>
    <t>Kompleksinis tikslinės teritorijos daugiabučių namų kiemų tvarkymas</t>
  </si>
  <si>
    <t>Saugios kaimynystės bendruomenėje projektų įgyvendinimas:</t>
  </si>
  <si>
    <t>2020-ųjų metų lėšų projektas</t>
  </si>
  <si>
    <t>2020-ieji metai</t>
  </si>
  <si>
    <t>Sutvarkyta švietimo įstaigų želdinių, vnt.</t>
  </si>
  <si>
    <t>Viešųjų erdvių (šviesoforų, fontanų, tualetų ir kt.) apšvietimo tinklų ir įrangos eksploatacija</t>
  </si>
  <si>
    <t>10</t>
  </si>
  <si>
    <r>
      <t xml:space="preserve">Kelių priežiūros ir plėtros programos lėšos </t>
    </r>
    <r>
      <rPr>
        <b/>
        <sz val="10"/>
        <rFont val="Times New Roman"/>
        <family val="1"/>
        <charset val="186"/>
      </rPr>
      <t>SB(KPP)</t>
    </r>
  </si>
  <si>
    <t xml:space="preserve">Eksploatuojama informacinė miesto sistema: </t>
  </si>
  <si>
    <t>Įrengta gatvių pavadinimų lentelių ir gatvių krypties nuorodų, vnt.</t>
  </si>
  <si>
    <t>Įsigyta inventoriaus:</t>
  </si>
  <si>
    <t>Atlikta inventoriaus remonto darbų:</t>
  </si>
  <si>
    <t>Įsigyta kalėdinių papuošimų ir eglė:</t>
  </si>
  <si>
    <t>Atlikta vandens maudyklų tyrimų, sk.</t>
  </si>
  <si>
    <t>Suteikta asistento paslauga neįgaliesiems, vnt.</t>
  </si>
  <si>
    <t xml:space="preserve">Prevencinio projekto „Būk pilietiškas, būk saugus“ įgyvendinimas kartu su Klaipėdos apskrities vyriausiuoju policijos komisariatu </t>
  </si>
  <si>
    <t xml:space="preserve">Suremontuota Joniškės kapinių tvora, m </t>
  </si>
  <si>
    <t>Atlikta kapinių skaitmeninimo (inventorizavimas Joniškės, Lėbartų kapinės) sistemos priežiūros darbų. Užbaigtumas, proc.</t>
  </si>
  <si>
    <t>Įrengta vaikų žaidimų aikštelių viešose erdvėse, vnt.</t>
  </si>
  <si>
    <t>Prižiūrima vaikų žaidimų aikštelių viešose erdvėse, vnt.</t>
  </si>
  <si>
    <t>I. Kanto ir S. Daukanto gatvių sankryžoje esančio skvero sutvarkymas</t>
  </si>
  <si>
    <t>Demontuota antžeminių dalių ir įrengta konteinerinių tualetų su išgriebimo duobėmis buvusių stacionarių tualetų vietose:</t>
  </si>
  <si>
    <t>LRVB</t>
  </si>
  <si>
    <t>1 </t>
  </si>
  <si>
    <t xml:space="preserve">Kapinių priežiūra (valymas, apsauga, administravimas, elektros energijos pirkimas, vandens įrenginių priežiūra, kvartalinių žymeklių įrengimas, kapinių inventorizavimas, kapaviečių ženklų  įrengimas, dėžių smėliui laikyti atnaujinimas) </t>
  </si>
  <si>
    <t>Atlikta teritorijos išvalymo darbų. Užbaigtumas, proc.</t>
  </si>
  <si>
    <t>Informavimo ir e. paslaugų skyrius</t>
  </si>
  <si>
    <t xml:space="preserve">Danės upės krantinių rekonstrukcija ir prieigų (Danės skveras su fontanais) sutvarkymas  </t>
  </si>
  <si>
    <t>Rekonstruota, nutiesta lietaus nuotekų tinklų, m</t>
  </si>
  <si>
    <t>Klaipėdos miesto paviršinių nuotekų tinklų įrengimas, remontas ir rekonstrukcija</t>
  </si>
  <si>
    <t>Teritorijos Pempininkų tako gale (ties Debreceno g.18) sutvarkymas</t>
  </si>
  <si>
    <t>Atlikta tako atnaujinimo darbų. Užbaigtumas, proc.</t>
  </si>
  <si>
    <t>Smiltynės g. 14A (prie moterų paplūdimio);</t>
  </si>
  <si>
    <t>Smiltynės g. 33 (Naujoji perkėla);</t>
  </si>
  <si>
    <t>Smiltynės g. 31 (Naujoji perkėla);</t>
  </si>
  <si>
    <t>Smiltynės g. 30 (Naujoji perkėla);</t>
  </si>
  <si>
    <t>Smiltynės g. 14C (kopose už gelbėjimo stoties);</t>
  </si>
  <si>
    <t>Papuošta kalėdinė eglė Atgimimo aikštėje, kartai</t>
  </si>
  <si>
    <t>Savivaldybei priskirtų valyti ir prižiūrėti teritorijų plotas, kv. km</t>
  </si>
  <si>
    <t>Suorganizuota aplinkosauginių renginių paplūdimiuose, vnt.</t>
  </si>
  <si>
    <t xml:space="preserve">Atlikta aikštės ir jos prieigų (8 284 m²) sutvarkymo darbų. Užbaigtumas, proc.  </t>
  </si>
  <si>
    <t>Interaktyvios tikslinės teritorijos ir susietų teritorijų ribų žemėlapio programos sukūrimas</t>
  </si>
  <si>
    <t xml:space="preserve">Buvusios AB „Klaipėdos energija“ teritorijos dalies  konversija, sudarant sąlygas vystyti komercines, rekreacines veiklas </t>
  </si>
  <si>
    <t xml:space="preserve">Išvežta mirusiųjų iš įvykio vietos, skaičius </t>
  </si>
  <si>
    <t>Daugiabučio Vingio g. 35 modernizavimo techninio darbo projekto parengimas</t>
  </si>
  <si>
    <r>
      <t xml:space="preserve">Europos Sąjungos paramos lėšos, kurios įtrauktos į savivaldybės biudžetą </t>
    </r>
    <r>
      <rPr>
        <b/>
        <sz val="10"/>
        <rFont val="Times New Roman"/>
        <family val="1"/>
        <charset val="186"/>
      </rPr>
      <t>SB(ES)</t>
    </r>
  </si>
  <si>
    <t>Tvarkoma gėlynų ploto, tūkst. m²</t>
  </si>
  <si>
    <t>Skirtumas</t>
  </si>
  <si>
    <t>Siūlomas keisti 2020-ųjų metų  lėšų projektas</t>
  </si>
  <si>
    <t>Paaiškinimas</t>
  </si>
  <si>
    <t>Lyginamasis variantas</t>
  </si>
  <si>
    <t xml:space="preserve">Turgaus aikštės su prieigomis sutvarkymas, pritaikant verslo,  bendruomenės poreikiams </t>
  </si>
  <si>
    <t>2021-ųjų metų lėšų projektas</t>
  </si>
  <si>
    <t>2021-ieji metai</t>
  </si>
  <si>
    <t>100</t>
  </si>
  <si>
    <t>Viešųjų tualetų paslaugų teikimas Melnragės paplūdimyje ir Klaipėdos poilsio parke</t>
  </si>
  <si>
    <t>Įrengta ir atnaujinta automobilių stovėjimo vietų, vnt.</t>
  </si>
  <si>
    <t>2019-ųjų metų asignavimų planas</t>
  </si>
  <si>
    <t>Įsigyta želdinių apsauginių tvorelių, m</t>
  </si>
  <si>
    <t>Nutiesta lietaus nuotekų tinklų, m</t>
  </si>
  <si>
    <t>60</t>
  </si>
  <si>
    <t>P2.4.1.2.</t>
  </si>
  <si>
    <t xml:space="preserve">Laivų nuleidimo prieplaukos ir saugojimo aikštelės sklype šalia Liepų g. tilto įrengimas </t>
  </si>
  <si>
    <t>Įrengta laivų nuleidimo prieplauka, vnt.</t>
  </si>
  <si>
    <t>Klaipėdos miesto Skulptūrų parko (senųjų miesto kapinių) sutvarkymas</t>
  </si>
  <si>
    <t>Atlikta parko sutvarkymo darbų. Užbaigtumas proc.</t>
  </si>
  <si>
    <t xml:space="preserve">Parengtas meninių objektų su funkcija, pritaikyta vaikų žaidimams, projektų įgyvendinimo konkursas, vnt. </t>
  </si>
  <si>
    <t xml:space="preserve">Danės upės slėnio teritorijos  pritaikymas visuomenės ir rekreaciniams poreikiams </t>
  </si>
  <si>
    <t>Įrengta gertuvių, vnt</t>
  </si>
  <si>
    <t>30</t>
  </si>
  <si>
    <t>Įsigyta šachmatų figūrų, vnt.</t>
  </si>
  <si>
    <t>Įsigyta šunų ekskrementų šiukšliadėžių, vnt.</t>
  </si>
  <si>
    <t>20</t>
  </si>
  <si>
    <t>Atlikti šlaitų stabilizavimo darbai Šiaurės pr. Užbaigtumas, proc.</t>
  </si>
  <si>
    <t>660</t>
  </si>
  <si>
    <t>Įrengta buitinių nuotekų valymo sistema. Užbaigtumas proc.</t>
  </si>
  <si>
    <t>Parengta Danės upės ir krantinių valdymo modelio parinkimo galimybių studija, vnt.</t>
  </si>
  <si>
    <t>Smiltynėje pagrindiniame take;</t>
  </si>
  <si>
    <t>Praėjime take nuo dviračių tako iki Debreceno g. 52 namo;</t>
  </si>
  <si>
    <t>Aukštosios g. ruože nuo Daržų g. iki Turgaus a.;</t>
  </si>
  <si>
    <t>Take nuo Kretingos g. iki Geležinkelio g. 2A;</t>
  </si>
  <si>
    <t>Atlikta įrengimo darbų. Užbaigtumas, proc.</t>
  </si>
  <si>
    <t xml:space="preserve">2019 m. </t>
  </si>
  <si>
    <t>Oto g.;</t>
  </si>
  <si>
    <t>Suremontuota takų Joniškės ir Lėbartų kapinėse, tūkst. kv. m</t>
  </si>
  <si>
    <t>Įrengta lietaus nuotekų sistema Joniškės kapinėse. Užbaigtumas, proc.</t>
  </si>
  <si>
    <t>Suremontuotas viešasis tualetas Lėbartų kapinėse. Užbaigtumas, proc.</t>
  </si>
  <si>
    <t>Valdų, kuriose tvarkomi želdiniai, skaičius</t>
  </si>
  <si>
    <t>Techninio darbo projekto koregavimas, vnt.</t>
  </si>
  <si>
    <t>Projekto administravimas, vnt.</t>
  </si>
  <si>
    <t>Pašalinta netinkamų naudoti įrenginių, vnt.</t>
  </si>
  <si>
    <t>Parengta projektų, vnt.</t>
  </si>
  <si>
    <t>Atnaujinta (pagerinta) sporto aikštelių daugiabučių namų kiemuose ar viešosiose miesto erdvėse, vnt.</t>
  </si>
  <si>
    <t>Sudarytas Danės upės vietinės reikšmės vidaus vandenų keliui locmano žemėlapis vnt.</t>
  </si>
  <si>
    <t>Oro linijų keitimas į kabelines Pievų Tako g.;</t>
  </si>
  <si>
    <t>Parengta techninių projektų, vnt.</t>
  </si>
  <si>
    <t>Projekto „Tu esi svarbus“ įgyvendinimas kartu su Klaipėdos apskrities vyriausiuoju policijos komisariatu</t>
  </si>
  <si>
    <t>Inventoriaus įsigijimas</t>
  </si>
  <si>
    <t>Akmenos-Danės upės vidaus vandens kelio valdymas</t>
  </si>
  <si>
    <t>Apšvietimo projektavimas ir įrengimas</t>
  </si>
  <si>
    <t>Daugiabučių namų kiemų infrastruktūros gerinimo priemonių plano įgyvendinimas</t>
  </si>
  <si>
    <t xml:space="preserve">2020-2021 m. </t>
  </si>
  <si>
    <t>SB(VB)</t>
  </si>
  <si>
    <t>SB(ES)</t>
  </si>
  <si>
    <t>Šlaitų stabilizavimo darbų Šiaurės prospekte atlikimas</t>
  </si>
  <si>
    <t>Interneto prieigų viešosiose vietose belaidžio ryšio (Wi-Fi) paslaugos teikimas</t>
  </si>
  <si>
    <t xml:space="preserve">Suteikta  belaidžio ryšio (Wi-Fi) paslauga Kruizinių laivų terminale ir Teatro aikštėje, vnt. </t>
  </si>
  <si>
    <r>
      <t>Vaikų žaidimo aikštelių įrengimo ir atnaujinimo programos įgyvendinimas</t>
    </r>
    <r>
      <rPr>
        <sz val="10"/>
        <color rgb="FFFF0000"/>
        <rFont val="Times New Roman"/>
        <family val="1"/>
        <charset val="186"/>
      </rPr>
      <t xml:space="preserve"> </t>
    </r>
  </si>
  <si>
    <t xml:space="preserve">Prevencinio projekto„Saugus eismas – saugus Tu“ įgyvendinimas kartu su Klaipėdos apskrities vyriausiuoju policijos komisariatu </t>
  </si>
  <si>
    <t xml:space="preserve">Prevencinio projekto „Saugi Klaipėda“ įgyvendinimas kartu su Klaipėdos apskrities vyriausiuoju policijos komisariatu </t>
  </si>
  <si>
    <t>Įgyvendintas priemonių 2019–2021 metų planas. Užbaigtumas, proc.</t>
  </si>
  <si>
    <t xml:space="preserve">Prižiūrima tūrinių ir kitų gėlinių, vnt. </t>
  </si>
  <si>
    <t>45</t>
  </si>
  <si>
    <t>Viešųjų erdvių, gatvių ir kiemų apšvietimo įrengimas:</t>
  </si>
  <si>
    <t>P6</t>
  </si>
  <si>
    <r>
      <t xml:space="preserve">P2.4.2.2, </t>
    </r>
    <r>
      <rPr>
        <b/>
        <sz val="8"/>
        <rFont val="Times New Roman"/>
        <family val="1"/>
        <charset val="186"/>
      </rPr>
      <t>P6</t>
    </r>
  </si>
  <si>
    <t>Automobilių stovėjimo aikštelių projektavimas, įrengimas ir atnaujinimas</t>
  </si>
  <si>
    <r>
      <t xml:space="preserve">P2.4.2.5, </t>
    </r>
    <r>
      <rPr>
        <b/>
        <sz val="8"/>
        <rFont val="Times New Roman"/>
        <family val="1"/>
        <charset val="186"/>
      </rPr>
      <t>P6</t>
    </r>
  </si>
  <si>
    <t>(rangos darbų pradžia 2022 m.)</t>
  </si>
  <si>
    <t xml:space="preserve">2019–2021 M. KLAIPĖDOS MIESTO SAVIVALDYBĖS </t>
  </si>
  <si>
    <t>priedas</t>
  </si>
  <si>
    <t xml:space="preserve">Klaipėdos miesto savivaldybės miesto infrastruktūros objektų </t>
  </si>
  <si>
    <t xml:space="preserve">priežiūros ir modernizavimo programos (Nr. 07) aprašymo   </t>
  </si>
  <si>
    <t>Įrengta vaikų žaidimų aikštelių (Pempininkų ir Debreceno aikščių prieigose), vnt.</t>
  </si>
  <si>
    <t>Sudarytas locmano žemėlapis vnt.</t>
  </si>
  <si>
    <t>Parengta galimybių studija, vnt.</t>
  </si>
  <si>
    <t>Akmenos-Danės upės vidaus vandens kelio valdymas:</t>
  </si>
  <si>
    <t>Parengta atraminių apsauginių įėjimo į paplūdimius sienučių techninių projektų, vnt.</t>
  </si>
  <si>
    <t>P2.4.2.2.</t>
  </si>
  <si>
    <t xml:space="preserve">Pėsčiųjų tako sutvarkymas palei Taikos pr. nuo Sausio 15-osios iki Kauno g., paverčiant viešąja erdve, pritaikyta gyventojams bei smulkiajam ir vidutiniam verslui  </t>
  </si>
  <si>
    <t xml:space="preserve">Vaikų žaidimo aikštelių įrengimo ir atnaujinimo programos įgyvendinimas </t>
  </si>
  <si>
    <t>Įsigyta šviečiančių kalėdinių elementų apšvietimo atramoms, vnt.</t>
  </si>
  <si>
    <t>Įsigyta šviesos elementų (LED girliandų) fasadams ir medžiams puošti, tūkst. vnt</t>
  </si>
  <si>
    <t>Įsigyta šviesos elementų (LED girliandų) fasadams ir medžiams puošti, tūkst. m</t>
  </si>
  <si>
    <t>Pakabinta ir eksploatuojama papuošimo elementų, vnt.</t>
  </si>
  <si>
    <t>Pakabinta ir eksploatuojama šviesos elementų (LED girliandų) fasadams ir medžiams puošti, tūkst. m</t>
  </si>
  <si>
    <t>Klaipėdos miesto paplūdimių sutvarkymo priemonių plano įgyvendinimas</t>
  </si>
  <si>
    <t>______________________________________</t>
  </si>
  <si>
    <t>Atlikta fontano „Laivelis“ skvere prie „Meridiano“ atnaujinimo darbų. Užbaigtumas, proc.</t>
  </si>
  <si>
    <t>Įsigyta kalėdinių papuošimo elementų ir eglė:</t>
  </si>
  <si>
    <t>Atlikta vandens maudyklų tyrimų, skaičius</t>
  </si>
  <si>
    <t>Įrengtas konteinerinis tualetas prie moterų paplūdimio Melnragėje, Kopų g. 40, vnt.</t>
  </si>
  <si>
    <t>Smiltynės g. 14B (prie bendrojo paplūdimio)</t>
  </si>
  <si>
    <t>Pasirasirašyta sutartis dėl dalyvavimo Mėlynosios vėliavos programoje I Smiltynės ir II Melnragės paplūdimiuose, vnt.</t>
  </si>
  <si>
    <t>II Melnragės gelbėjimo stotyje esančios kavinės nuoma</t>
  </si>
  <si>
    <t>Įsigyta ir prižiūrėta paplūdimių inventoriaus (mobilių gelbėjimo stočių, gelbėjimosi lentų,  paplūdimių stendų, naro kostiumų, keturratis motociklas, radijo bangomis valdomų gelbėjimo plaustų), vnt.</t>
  </si>
  <si>
    <t>Sporto aikštelės (krepšinio ir lauko teniso) įrengimas Smiltynės paplūdimyje. Užbaigtumas proc.</t>
  </si>
  <si>
    <r>
      <t>Autonominių belaidžio (</t>
    </r>
    <r>
      <rPr>
        <i/>
        <sz val="10"/>
        <rFont val="Times New Roman"/>
        <family val="1"/>
        <charset val="186"/>
      </rPr>
      <t>Wi-Fi</t>
    </r>
    <r>
      <rPr>
        <sz val="10"/>
        <rFont val="Times New Roman"/>
        <family val="1"/>
        <charset val="186"/>
      </rPr>
      <t>) ryšio stotelių priežiūra, vnt.</t>
    </r>
  </si>
  <si>
    <t>Praėjimo take nuo dviračių tako iki Debreceno g. 52 namo;</t>
  </si>
  <si>
    <t>Otų g.;</t>
  </si>
  <si>
    <r>
      <t>Suteikta  belaidžio ryšio (</t>
    </r>
    <r>
      <rPr>
        <i/>
        <sz val="10"/>
        <rFont val="Times New Roman"/>
        <family val="1"/>
        <charset val="186"/>
      </rPr>
      <t>Wi-Fi</t>
    </r>
    <r>
      <rPr>
        <sz val="10"/>
        <rFont val="Times New Roman"/>
        <family val="1"/>
        <charset val="186"/>
      </rPr>
      <t xml:space="preserve">) paslauga Kruizinių laivų terminale ir Teatro aikštėje, vnt. </t>
    </r>
  </si>
  <si>
    <r>
      <t>Interneto prieigų viešosiose vietose belaidžio ryšio (</t>
    </r>
    <r>
      <rPr>
        <i/>
        <sz val="10"/>
        <rFont val="Times New Roman"/>
        <family val="1"/>
        <charset val="186"/>
      </rPr>
      <t>Wi-Fi</t>
    </r>
    <r>
      <rPr>
        <sz val="10"/>
        <rFont val="Times New Roman"/>
        <family val="1"/>
        <charset val="186"/>
      </rPr>
      <t>) paslaugos teikimas</t>
    </r>
  </si>
  <si>
    <t>Praėjimo take nuo Taikos pr. 8 iki Sausio     15-osios g. 2A;</t>
  </si>
  <si>
    <t>Retransliuojamo vaizdo stebėjimo kamerų viešosiose vietose eksploatacija</t>
  </si>
  <si>
    <r>
      <t xml:space="preserve">Pėsčiųjų tako sutvarkymas palei Taikos pr. nuo Sausio 15-osios g. iki Kauno g., paverčiant viešąja erdve, pritaikyta gyventojams bei smulkiajam ir vidutiniam verslui </t>
    </r>
    <r>
      <rPr>
        <sz val="10"/>
        <color rgb="FFFF0000"/>
        <rFont val="Times New Roman"/>
        <family val="1"/>
        <charset val="186"/>
      </rPr>
      <t xml:space="preserve"> </t>
    </r>
  </si>
  <si>
    <t>Želdinių tvarkymas</t>
  </si>
  <si>
    <t>Daugiabučio namo Vingio g. 35 modernizavimo techninio darbo projekto parengimas</t>
  </si>
  <si>
    <t>Įrengta vaikų žaidimų aikštelių viešosiose erdvėse, vnt.</t>
  </si>
  <si>
    <t>Prižiūrima vaikų žaidimų aikštelių viešosiose erdvėse, vnt.</t>
  </si>
  <si>
    <t>Projekto „Saugus kaimynas – saugus aš“ įgyvendinimas kartu su Klaipėdos apskrities vyriausiuoju policijos komisariatu</t>
  </si>
  <si>
    <t>Gaisrų prevencijos projekto „Gyvenkime saugiai“ įgyvendinimas kartu su Klaipėdos apskrities priešgaisrine gelbėjimo valdyba</t>
  </si>
  <si>
    <t xml:space="preserve">Privažiuojamojo kelio ties Baltijos pr. 109 lietaus nuotekų tinklų tiesimas
</t>
  </si>
  <si>
    <t>Atlikta fontano „Laivelis“ skvere prie „Meridiano“ atnaujinimo darbų.  Užbaigtumas, proc.</t>
  </si>
  <si>
    <t>Siūlomas keisti 2019-ųjų metų asignavimų planas</t>
  </si>
  <si>
    <t>Siūlomas keisti 2021-ųjų metų  lėšų projektas</t>
  </si>
  <si>
    <t>Siūlomas keisti 2019 metų  asignavimų planas</t>
  </si>
  <si>
    <t>planas</t>
  </si>
  <si>
    <t>Parengtas naujų gertuvių įrengimo projektas, vnt.</t>
  </si>
  <si>
    <t>Karlsronos aikštė</t>
  </si>
  <si>
    <t>S. Daukanto g. 13A ir Pievų Tako g. 8–3;</t>
  </si>
  <si>
    <t>Pravažiavime nuo J. Janonio g. 5 iki Pievų  tako g. 37;</t>
  </si>
  <si>
    <t>Atnaujintas vaizdo stebėjimo punktas, vnt.</t>
  </si>
  <si>
    <t xml:space="preserve">Prevencinio projekto „Mažinkime triukšmą mieste“ įgyvendinimas kartu su Klaipėdos apskrities vyriausiuoju policijos komisariatu </t>
  </si>
  <si>
    <t xml:space="preserve">Parengta žemėlapio programa, skirta 2014–2020 m. integruotų investicijų programos projektams viešinti, vnt. </t>
  </si>
  <si>
    <t>SB(VR)</t>
  </si>
  <si>
    <t>Įsigyta ir įrengta apsauginė tvorelė, vnt.</t>
  </si>
  <si>
    <t xml:space="preserve">Atnaujintas konteinerinis tualetas Kruzinių laivų terminale, vnt. </t>
  </si>
  <si>
    <t>Parengtas inžinerinių tinklų, reikalingų Kruizinių laivų terminale tualetui eksploatuoti, techninis projektas, vnt.</t>
  </si>
  <si>
    <t xml:space="preserve">Atlikta daugiabučių namų kiemų sutvarkymo (143403 m2) darbų. Užbaigtumas, proc. </t>
  </si>
  <si>
    <t>2020-ųjų metų asignavimų planas</t>
  </si>
  <si>
    <t>2022-ųjų metų lėšų projektas</t>
  </si>
  <si>
    <t>2022-ieji metai</t>
  </si>
  <si>
    <t xml:space="preserve">2019–2022 M. KLAIPĖDOS MIESTO SAVIVALDYBĖS </t>
  </si>
  <si>
    <r>
      <rPr>
        <strike/>
        <sz val="10"/>
        <color rgb="FFFF0000"/>
        <rFont val="Times New Roman"/>
        <family val="1"/>
        <charset val="186"/>
      </rPr>
      <t xml:space="preserve">50    </t>
    </r>
    <r>
      <rPr>
        <sz val="10"/>
        <color rgb="FFFF0000"/>
        <rFont val="Times New Roman"/>
        <family val="1"/>
        <charset val="186"/>
      </rPr>
      <t xml:space="preserve"> 25</t>
    </r>
  </si>
  <si>
    <r>
      <rPr>
        <strike/>
        <sz val="10"/>
        <color rgb="FFFF0000"/>
        <rFont val="Times New Roman"/>
        <family val="1"/>
        <charset val="186"/>
      </rPr>
      <t>100</t>
    </r>
    <r>
      <rPr>
        <sz val="10"/>
        <color rgb="FFFF0000"/>
        <rFont val="Times New Roman"/>
        <family val="1"/>
        <charset val="186"/>
      </rPr>
      <t xml:space="preserve"> 70</t>
    </r>
  </si>
  <si>
    <r>
      <t xml:space="preserve">100  </t>
    </r>
    <r>
      <rPr>
        <sz val="10"/>
        <color rgb="FFFF0000"/>
        <rFont val="Times New Roman"/>
        <family val="1"/>
        <charset val="186"/>
      </rPr>
      <t>10</t>
    </r>
  </si>
  <si>
    <r>
      <rPr>
        <strike/>
        <sz val="10"/>
        <color rgb="FFFF0000"/>
        <rFont val="Times New Roman"/>
        <family val="1"/>
        <charset val="186"/>
      </rPr>
      <t>5,8</t>
    </r>
    <r>
      <rPr>
        <sz val="10"/>
        <color rgb="FFFF0000"/>
        <rFont val="Times New Roman"/>
        <family val="1"/>
        <charset val="186"/>
      </rPr>
      <t xml:space="preserve"> 10,3</t>
    </r>
  </si>
  <si>
    <t xml:space="preserve">Prevencinio projekto „Stebima Klaipėda saugesnė“ įgyvendinimas kartu su Klaipėdos apskrities vyriausiuoju policijos komisariatu </t>
  </si>
  <si>
    <t xml:space="preserve">Siūloma sumažinti finansavimo apimtį 2019 m., atitinkamai padidinti 2020 m. ir patikslinti vertinimo kriterijaus reikšmę. Ilgiau nei planuota užtruko techninio projekto parengimas bei rangos darbų konkurso procedūros, todėl darbai bus pradėti tik 2020 m. </t>
  </si>
  <si>
    <t>Siūloma sumažinti finansavimo apimtį 2019 m., atitinkamai padidinti 2020 m. ir patikslinti vertinimo kriterijaus reikšmę. Šiuo metu vykdoma techninio projekto ekspertizė (projektuotojas laiku nevykdo savo įsipareigojimų), todėl aikštės atnaujinimo darbai šiais metais nebus pradėti. Darbų pradžia numatoma 2020 m., o pabaiga - 2022 m.</t>
  </si>
  <si>
    <t xml:space="preserve">Siūloma padidinti projekto finansinę apimtį, nes įgyvendinimo metu iškilus būtinybei keisti meninį akcentą dėl vandalizmo grėsmės bei priežiūros, buvo parengtas alternatyvus pasiūlymas iš granito ir nerūdyjančio plieno. </t>
  </si>
  <si>
    <r>
      <t xml:space="preserve">Siūlome mažinti papriemonės finansavimo apimtį. </t>
    </r>
    <r>
      <rPr>
        <sz val="10"/>
        <color rgb="FFFF0000"/>
        <rFont val="Times New Roman"/>
        <family val="1"/>
        <charset val="186"/>
      </rPr>
      <t>KODĖL?</t>
    </r>
  </si>
  <si>
    <t xml:space="preserve">Siūloma mažinti papriemonės finansinę apimtį ir atitinkamai koreguoti vertinimo kriterijaus reikšmę, kadangi šiais metais bus parengtas tik techninis darbo projektas, o rangos darbų pradžia planuojama 2020 m. Paaiškėjo, kad paprastojo darbų aprašo šlaitų sutvirtinimui neužtenka, reikalingas techninis projektas.
</t>
  </si>
  <si>
    <t xml:space="preserve">Siūloma mažinti papriemonės finansavimo apimtį 2020 m., darbų pradžią planuoti  2021 m., kadangi 2020 m. planuojama parengti techninius projektus. </t>
  </si>
  <si>
    <t xml:space="preserve">Siūlome mažinti papriemonės finansavimo apimtį 2021 m., darbų pradžią planuoti 2022 m., kadangi 2021 m. bus rengiami techniniai projektai. </t>
  </si>
  <si>
    <t>Siūloma sumažinti priemonės finansinę apimtį, kadangi rangos darbai nupirkti už mažesnę kainą nei planuota.</t>
  </si>
  <si>
    <t>Siūloma mažinti priemonės finansinę apimtį 2019 m., kadangi šiais metais nebus įsigyta vaizdo stebėjimo kamerų duomenų, dominančių įvykių paieškos apdorojimo, paslauga. Užsitęsus viešųjų pirkimų procedūroms (vyko teisminiai procesai) dar neįrengtos visos suplanuotos vaizdo stebėjimo kameros (29 kameros jau įrengtos, 4 – gruodžio mėn.), todėl įsigyti minėtą paslaugą buvo netikslinga, tai bus atlikta 2020 m.</t>
  </si>
  <si>
    <t xml:space="preserve">Siūloma didinti priemonės finansinę apimtį ir vertinimo kriterijų reikšmes, kadangi planuojama atnaujinti ir įrengti daugiau automobilių stovėjimo vietų bei  pagal parengtus projektus įrengti daugiau apšvietimo tinklų nei planuota metų pradžioje. Lėšų poreikis iš dalies didėja ne tik dėl planuojamų atlikti darbų augančio kiekio, bet ir pabrangusių darbų (viešųjų pirkimų metu pasiūlytos didesnės kainos nei planuota). </t>
  </si>
  <si>
    <r>
      <rPr>
        <strike/>
        <sz val="10"/>
        <color rgb="FFFF0000"/>
        <rFont val="Times New Roman"/>
        <family val="1"/>
        <charset val="186"/>
      </rPr>
      <t xml:space="preserve">5 </t>
    </r>
    <r>
      <rPr>
        <sz val="10"/>
        <color rgb="FFFF0000"/>
        <rFont val="Times New Roman"/>
        <family val="1"/>
        <charset val="186"/>
      </rPr>
      <t xml:space="preserve">  0</t>
    </r>
  </si>
  <si>
    <r>
      <rPr>
        <strike/>
        <sz val="10"/>
        <color rgb="FFFF0000"/>
        <rFont val="Times New Roman"/>
        <family val="1"/>
        <charset val="186"/>
      </rPr>
      <t xml:space="preserve"> 40 </t>
    </r>
    <r>
      <rPr>
        <sz val="10"/>
        <color rgb="FFFF0000"/>
        <rFont val="Times New Roman"/>
        <family val="1"/>
        <charset val="186"/>
      </rPr>
      <t>0</t>
    </r>
  </si>
  <si>
    <t xml:space="preserve">Vykdant viešųjų pirkimų procedūras dėl rangovo parinkimo buvo gauti keturi pasiūlymai, kurių kaina viršija patvirtintas projekto lėšas. Procedūros laikinai yra stabdomos, iki bus priimti atitinkami sprendimai dėl projekto tolimesnio vykdymo. Siūlome SB(ES) ir SB(VB) lėšas perkelti į 2020 m. Atitinkamai koreguoti kriterijaus reikšmę </t>
  </si>
  <si>
    <t xml:space="preserve">Projekto paraiška pakartotinai vertinama agentūroje, vėluoja projekto įgyvendinimo veiklos, lėšos perkeliamos į 2020 m. Siūlome SB(ES) ir SB(VB) lėšas perkelti į 2020 m. Atitinkamai koreguoti kriterijaus reikšmę </t>
  </si>
  <si>
    <t xml:space="preserve">Techninis projektas buvo pakartotinai pateiktas ekspertizei atlikti, dėl vėluojamo gauti statybą leidžiančio dokumento, vėluoja rangos darbų pradžia. Siūlome SB(ES) ir SB(VB) lėšas perkelti į 2020 m. Atitinkamai koreguoti kriterijaus reikšmę </t>
  </si>
  <si>
    <t>Klaipėdos apskrities vyriausiasis policijos komisariatas pasiūlė kartu įgyvendinti  naują projektą, kurio tikslas – nuotoliniu būdu stebėti Klaipėdos miesto situaciją viešose erdvėse, vykdyti teisės pažeidimų prevenciją, nedelsiant reaguoti ir užkardyti daromas nusikalstamas veikas. Tam reikės įsigyti 3 ergonomiškus stalus su kėdėmis, įsigyti interaktyvią lentą 2 metrų įstrižainės, vaizdo stebėjimo kameromis užfiksuoto vaizdo atminties saugojimo talpyklas. Visi rezultatai bus aptarti kartu su Klaipėdos miesto savivaldybės darbuotojais.</t>
  </si>
  <si>
    <t xml:space="preserve">Siūloma mažinti papriemonės finansinę apimtį  2019 m. ir vertinimo kriterijaus reikšmę, nes bus atlikta mažiau nei planuota darbų. Planuotų darbų Kauno g. 31-35 nepavyks įvykdyti, kadangi techninis projektas bus parengtas tik metų pabaigoje, todėl darbai nusikelia į 2020 m. Be to, buvo nutrauktas ir bus kartojamas viešasis pirkimas dėl kolektoriaus ir paviršinių nuotekų tinklų KLASCO teritorijoje rekonstravimo (tikslinama techninė specifikacija, iškilo klausimų dėl aplink šią teritoriją vykstančių projektų). </t>
  </si>
  <si>
    <t>785</t>
  </si>
  <si>
    <t>Klaipėdos miesto savivaldybės kultūros centro Žvejų rūmų teritorijos sutvarkymas</t>
  </si>
  <si>
    <t>Atlikta teritorijos sutvarkymo darbų. Užbaigtumas proc.</t>
  </si>
  <si>
    <t>70</t>
  </si>
  <si>
    <t>50</t>
  </si>
  <si>
    <t>32</t>
  </si>
  <si>
    <t>0</t>
  </si>
  <si>
    <r>
      <t xml:space="preserve">Įrengtas konteinerinis tualetas galinėje autobusų stotelėje </t>
    </r>
    <r>
      <rPr>
        <i/>
        <sz val="10"/>
        <rFont val="Times New Roman"/>
        <family val="1"/>
        <charset val="186"/>
      </rPr>
      <t>Mogiliovo g.</t>
    </r>
    <r>
      <rPr>
        <sz val="10"/>
        <rFont val="Times New Roman"/>
        <family val="1"/>
        <charset val="186"/>
      </rPr>
      <t xml:space="preserve">, vnt. </t>
    </r>
  </si>
  <si>
    <r>
      <t xml:space="preserve">Parengtas inžinerinių tinklų, reikalingų konteinerinio viešojo tualeto galinėje autobusų stotelėje </t>
    </r>
    <r>
      <rPr>
        <i/>
        <sz val="10"/>
        <rFont val="Times New Roman"/>
        <family val="1"/>
        <charset val="186"/>
      </rPr>
      <t xml:space="preserve">Mogiliovo g. </t>
    </r>
    <r>
      <rPr>
        <sz val="10"/>
        <rFont val="Times New Roman"/>
        <family val="1"/>
        <charset val="186"/>
      </rPr>
      <t>eksploatuoti, techninis projektas, vnt.</t>
    </r>
  </si>
  <si>
    <t>1300</t>
  </si>
  <si>
    <t>400</t>
  </si>
  <si>
    <t>Parengti inžinerinių tinklų, reikalingų tualetų Smiltynėje atnaujinimui ir eksploatavimui, techniniai darbo projektai, vnt.</t>
  </si>
  <si>
    <t>Demontuota antžeminių dalių ir įrengta konteinerinių tualetų su išgriebimo duobėmis buvusių stacionarių tualetų vietose: Smiltynės g. 33 (Naujoji perkėla)</t>
  </si>
  <si>
    <t>Konteinerinių tualetų įrengimas Klaipėdos miesto paplūdimiuose</t>
  </si>
  <si>
    <t>40</t>
  </si>
  <si>
    <t>Atraminių apsauginių įėjimo į paplūdimį sienučių remontas</t>
  </si>
  <si>
    <t>Autonominių belaidžio (Wi-Fi) ryšio stotelių apsauga, priežiūra ir remontas, vnt.</t>
  </si>
  <si>
    <t>2021 m.</t>
  </si>
  <si>
    <t>2022 m.</t>
  </si>
  <si>
    <t>Žiobrių g.</t>
  </si>
  <si>
    <t xml:space="preserve">2020 m. </t>
  </si>
  <si>
    <t>Naujų kapinių įrengimas</t>
  </si>
  <si>
    <t>Kapitališkai suremontuota atraminių apsauginių sienučiu Smiltynės paplūdimyje prie centrinės gelbėtojų stoties. Užbaigtumas, proc. (darbų pradžia 2022 m.)</t>
  </si>
  <si>
    <t>Namų ūkių, kuriems skirtas dalinis finansavimas, skaičius</t>
  </si>
  <si>
    <t>Viešųjų erdvių ir gatvių apšvietimo įrengimas</t>
  </si>
  <si>
    <t>Gaisrų prevencijos projekto „Išmok naudotis ugnies gesintuvu“ įgyvendinimas kartu su Klaipėdos priešgaisrine gelbėjimo valdyba</t>
  </si>
  <si>
    <t xml:space="preserve">Prevencinio projekto „Policijos rėmėjas – aktyvus pagalbininkas kuriant saugesnę Lietuvą!“ įgyvendinimas kartu su Klaipėdos apskrities vyriausiuoju policijos komisariatu </t>
  </si>
  <si>
    <t xml:space="preserve">Prevencinio projekto „Saugus miestas“ įgyvendinimas kartu su Klaipėdos apskrities vyriausiuoju policijos komisariatu </t>
  </si>
  <si>
    <t>Prevencinio projekto „Saugus greitis kelyje – saugi šeima“ įgyvendinimas kartu su Klaipėdos apskrities vyriausiuoju policijos komisariatu</t>
  </si>
  <si>
    <t xml:space="preserve">Dalinio finansavimo skyrimas namų ūkių prisijungimui prie centralizuotų geriamojo vandens tiekimo ir nuotekų tvarkymo infrastruktūros
</t>
  </si>
  <si>
    <t xml:space="preserve">Muzikinio teatro pastato Danės g. 19 aplinkos tvarkybos darbai už sklypo ribos </t>
  </si>
  <si>
    <t>SB:</t>
  </si>
  <si>
    <t>SB(L):</t>
  </si>
  <si>
    <t>SB(VB):</t>
  </si>
  <si>
    <t>SB(ES):</t>
  </si>
  <si>
    <t>ES:</t>
  </si>
  <si>
    <t>LRVB:</t>
  </si>
  <si>
    <t>P1</t>
  </si>
  <si>
    <r>
      <rPr>
        <b/>
        <sz val="8"/>
        <rFont val="Times New Roman"/>
        <family val="1"/>
        <charset val="186"/>
      </rPr>
      <t>P1,</t>
    </r>
    <r>
      <rPr>
        <sz val="8"/>
        <rFont val="Times New Roman"/>
        <family val="1"/>
        <charset val="186"/>
      </rPr>
      <t xml:space="preserve"> P2.4.2.2</t>
    </r>
  </si>
  <si>
    <r>
      <t xml:space="preserve">P2.4.2.5, </t>
    </r>
    <r>
      <rPr>
        <b/>
        <sz val="8"/>
        <rFont val="Times New Roman"/>
        <family val="1"/>
        <charset val="186"/>
      </rPr>
      <t>P6, P1</t>
    </r>
  </si>
  <si>
    <t>Atnaujinta Poilsio parko vaikų žaidimo aikštelė, vnt.</t>
  </si>
  <si>
    <t>SB(P)</t>
  </si>
  <si>
    <t>Elektros įvadų įrengimas paplūdimiuose</t>
  </si>
  <si>
    <t>Skvere tarp H. Manto g. 38 ir 36</t>
  </si>
  <si>
    <t>Suremontuota lietaus nuotekų Lėbartų kapinėse, m</t>
  </si>
  <si>
    <t>Atliktas Lėbartų kapinių centrinių vartų remontas. Užbaigtumas, proc.</t>
  </si>
  <si>
    <t>Įrengta betoninių trinkelių danga Lėbartų kapinėse, kv. m.</t>
  </si>
  <si>
    <t>I, P1</t>
  </si>
  <si>
    <t>P6, P3.2.1.7</t>
  </si>
  <si>
    <t>Įsigyta ir įrengta inventoriaus (apžvalgos aikštelė Neįgaliųjų paplūdimyje, įrengti nerūdijančio plieno geriamojo vandens fontanėliai, dušinė, įsigytas pusiau automatinis defibriliatorius, specialus automobilis šiukšlių vežimui, gelbėjimo plūduras, krepšinio stovas), vnt.</t>
  </si>
  <si>
    <t>7</t>
  </si>
  <si>
    <t>12</t>
  </si>
  <si>
    <t>Prevencinio projekto „Saugi Klaipėda“ įgyvendinimas kartu su Klaipėdos apskrities vyriausiuoju policijos komisariatu</t>
  </si>
  <si>
    <r>
      <t xml:space="preserve">P2.4.1.2, </t>
    </r>
    <r>
      <rPr>
        <b/>
        <sz val="8"/>
        <rFont val="Times New Roman"/>
        <family val="1"/>
        <charset val="186"/>
      </rPr>
      <t>P6</t>
    </r>
  </si>
  <si>
    <t>SB(VR):</t>
  </si>
  <si>
    <t>11</t>
  </si>
  <si>
    <t>13</t>
  </si>
  <si>
    <t>14</t>
  </si>
  <si>
    <t>15</t>
  </si>
  <si>
    <t>16</t>
  </si>
  <si>
    <t xml:space="preserve">Įsigytas žemės sklypas,vnt. </t>
  </si>
  <si>
    <t xml:space="preserve">Atlikta aikštės ir jos prieigų (11 215 m2) sutvarkymo darbų. Užbaigtumas, proc.  </t>
  </si>
  <si>
    <t xml:space="preserve">Atlikta viešosios erdvės (47 247 m²) sutvarkymo darbų. Užbaigtumas, proc. </t>
  </si>
  <si>
    <t xml:space="preserve">Atlikta daugiabučių namų kiemų (146 000 m²) sutvarkymo darbų. Užbaigtumas, proc. </t>
  </si>
  <si>
    <t xml:space="preserve">Atlikta pėsčiųjų tako (41 010 m²) sutvarkymo darbų. Užbaigtumas, proc. </t>
  </si>
  <si>
    <t xml:space="preserve">Atlikta aikštės (8 066 m²) sutvarkymo darbų. Užbaigtumas, proc. </t>
  </si>
  <si>
    <t>Inžinerinio aprūpinimo sistemų tobulinimas:</t>
  </si>
  <si>
    <t xml:space="preserve">Daugiabučių gyvenamųjų namų kvartalų atnaujinimo ir priežiūros vykdymas: </t>
  </si>
  <si>
    <t>17</t>
  </si>
  <si>
    <t>18</t>
  </si>
  <si>
    <t>Atstatyta įspėjamųjų ženklų, stendų, vnt.</t>
  </si>
  <si>
    <t>Atlikta šlaitų stabilizavimo darbų Šiaurės pr. Užbaigtumas, proc.</t>
  </si>
  <si>
    <t>Išnuomota mobilių dušų konteinerių ir kilnojamųjų lauko tualetų Europiados programos vykdymui, vnt.</t>
  </si>
  <si>
    <t>Įrengta buitinių nuotekų valymo sistema Smiltynėje. Užbaigtumas proc.</t>
  </si>
  <si>
    <t>I, P6</t>
  </si>
  <si>
    <t>Statybos ir infrastruktūros plėtros sk.</t>
  </si>
  <si>
    <t xml:space="preserve"> Projektų skyrius  </t>
  </si>
  <si>
    <t>Socialinės infrastruktūros sk.</t>
  </si>
  <si>
    <t>Miesto tvarkymo  sk.</t>
  </si>
  <si>
    <t xml:space="preserve">Socialinės infrastruktūros skyriaus </t>
  </si>
  <si>
    <t>Projektų skyrius</t>
  </si>
  <si>
    <t>Miesto tvarkymo skyrius</t>
  </si>
  <si>
    <t>Statybos ir infrastruktūros plėtros skyrius</t>
  </si>
  <si>
    <t xml:space="preserve">Miesto tvarkymo skyrius </t>
  </si>
  <si>
    <t>Žemėtvarkos ir Turto skyriai</t>
  </si>
  <si>
    <t xml:space="preserve"> Miesto tvarkymo skyrius</t>
  </si>
  <si>
    <t xml:space="preserve">BĮ "Klaipėdos paplūdimiai" </t>
  </si>
  <si>
    <t xml:space="preserve"> Kapinių priežiūros skyrius</t>
  </si>
  <si>
    <t>Miesto paplūdimių priežiūros organizavimas</t>
  </si>
  <si>
    <t>SB(SPL):</t>
  </si>
  <si>
    <t>SB(SP):</t>
  </si>
  <si>
    <t>19</t>
  </si>
  <si>
    <t>21</t>
  </si>
  <si>
    <t>22</t>
  </si>
  <si>
    <t>23</t>
  </si>
  <si>
    <t>24</t>
  </si>
  <si>
    <t>25</t>
  </si>
  <si>
    <t>Miesto teritorijų priežiūra</t>
  </si>
  <si>
    <t xml:space="preserve">2020–2022 M. KLAIPĖDOS MIESTO SAVIVALDYBĖS </t>
  </si>
  <si>
    <t>P</t>
  </si>
  <si>
    <t>2020 m.</t>
  </si>
  <si>
    <t>Įrengta apšvietimo atramų kiemuose, vnt.</t>
  </si>
  <si>
    <t>(darbų pradžia 2023 m.)</t>
  </si>
  <si>
    <t>Meno kūrinio-pano „Plaukikas“  įrengimas</t>
  </si>
  <si>
    <t>Atlikti meno kūrinio pano „Plaukikas“ įrengimo darbai, proc.</t>
  </si>
  <si>
    <t>Meno kūrinio pano „Plaukikas“  įrengimas</t>
  </si>
  <si>
    <t>Atlikta meno kūrinio pano „Plaukikas“ įrengimo darbų, proc.</t>
  </si>
  <si>
    <t xml:space="preserve">Atnaujintas konteinerinis tualetas Kruizinių laivų terminale (2020 m. techninis projektas), vnt. </t>
  </si>
  <si>
    <t>Miesto teritorijų priežiūra:</t>
  </si>
  <si>
    <t>Iškelta nuotekų tinklų, proc.</t>
  </si>
  <si>
    <t>Miesto kapinių priežiūra ir  infrastruktūros atnaujinimas</t>
  </si>
  <si>
    <t>26</t>
  </si>
  <si>
    <t xml:space="preserve">Pėsčiųjų tako sutvarkymas palei Taikos pr. nuo Sausio 15-osios g. iki Kauno g., paverčiant viešąja erdve, pritaikyta gyventojams bei smulkiajam ir vidutiniam verslui  </t>
  </si>
  <si>
    <t>Atlikta aplinkos sutvarkymo darbų. Užbaigtumas, proc.</t>
  </si>
  <si>
    <t>Atlikta fontano, esančio prie žvejo paminklo „Žvejys“, remonto darbų. Užbaigtumas, proc.</t>
  </si>
  <si>
    <t>Atlikta fontano, esančio prie paminklo „Žvejys“, remonto darbų. Užbaigtumas, proc.</t>
  </si>
  <si>
    <t>Pasirašyta sutartis dėl dalyvavimo Mėlynosios vėliavos programoje pagrindiniame Smiltynės ir Antrosios Melnragės paplūdimiuose, vnt.</t>
  </si>
  <si>
    <t>Antrosios Melnragės gelbėjimo stotyje esančios kavinės nuoma</t>
  </si>
  <si>
    <t>Antrosios  Melnragės gelbėjimo stotyje esančios kavinės nuoma</t>
  </si>
  <si>
    <t>Atnaujintas konteinerinis tualetas Antrosios Melnragės g. 12, vnt.</t>
  </si>
  <si>
    <t>Kapitališkai suremontuota atraminių apsauginių sienučių Smiltynės paplūdimyje prie centrinės gelbėtojų stoties. Užbaigtumas, proc. (darbų pradžia 2022 m.)</t>
  </si>
  <si>
    <t xml:space="preserve">Įrengtas elektros įvadas Smiltynės g. 25 C, Klaipėda, vnt. </t>
  </si>
  <si>
    <t>Išnuomota mobilių dušų konteinerių ir kilnojamųjų lauko tualetų „Europiados“ programos vykdymui, vnt.</t>
  </si>
  <si>
    <t xml:space="preserve">Atnaujintas konteinerinis tualetas (Kruizinių laivų terminale (2020 m. techninis projektas), vnt. </t>
  </si>
  <si>
    <t xml:space="preserve">Įrengtas konteinerinis tualetas galinėje autobusų stotelėje Mogiliovo g. (2020 m. techninis projektas), vnt. </t>
  </si>
  <si>
    <t>Pravažiuojamajame kelyje nuo J. Janonio g. 5 iki Pievų  tako g. 37;</t>
  </si>
  <si>
    <t>Praėjimo take nuo Taikos pr. 8 iki Sausio 15-osios 2A</t>
  </si>
  <si>
    <t>Take nuo Kretingos g. iki Geležinkelio g. 2A</t>
  </si>
  <si>
    <t>I. Simonaitytės g. kalvoje</t>
  </si>
  <si>
    <t>Įvažoje į aikštelę Pievų Tako g. 14-16</t>
  </si>
  <si>
    <t>Kaštonų g (nuo Kretingos g. iki Valstiečių g.)</t>
  </si>
  <si>
    <t>Praėjimo take nuo Veterinarijos g. iki Neringos sodų</t>
  </si>
  <si>
    <t>Karlskronos aikštėje</t>
  </si>
  <si>
    <t>Prie Kadetų mokyklos</t>
  </si>
  <si>
    <t>Take tarp Baltjos pr. 55 ir Baltijos pr. 63</t>
  </si>
  <si>
    <t>Take nuo Vaivos g. iki Audros g.</t>
  </si>
  <si>
    <t>Praėjimo take nuo I. Simonaitytės g. 29 link I. Simonaitytės g. 33</t>
  </si>
  <si>
    <t>Pravažiuojamajame kelyje nuo S. Daukanto g.13A iki Pievų Tako g. 8</t>
  </si>
  <si>
    <t>Take nuo Turistų g. iki Pamario g.</t>
  </si>
  <si>
    <t>Reikjaviko g. 13 (take)</t>
  </si>
  <si>
    <t>Nėgių g.</t>
  </si>
  <si>
    <t>Šlakių g.</t>
  </si>
  <si>
    <t>Vyturio g. nuo Laukininkų g. 11 iki Vyturio g. 23</t>
  </si>
  <si>
    <t>Praėjimo take nuo Taikos pr. 8 iki Sausio 15-osios g. 2A</t>
  </si>
  <si>
    <t>Pravažiuojamajame kelyje nuo J. Janonio g. 5 iki Pievų Tako g. 37</t>
  </si>
  <si>
    <t>*Pagal Klaipėdos miesto savivaldybės tarybos 2019-10-24 sprendimą Nr. T2-293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</si>
</sst>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409]General"/>
  </numFmts>
  <fonts count="45" x14ac:knownFonts="1">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b/>
      <sz val="12"/>
      <name val="Times New Roman"/>
      <family val="1"/>
      <charset val="186"/>
    </font>
    <font>
      <sz val="10"/>
      <name val="Arial"/>
      <family val="2"/>
      <charset val="186"/>
    </font>
    <font>
      <b/>
      <sz val="8"/>
      <name val="Times New Roman"/>
      <family val="1"/>
      <charset val="186"/>
    </font>
    <font>
      <sz val="9"/>
      <name val="Times New Roman"/>
      <family val="1"/>
      <charset val="186"/>
    </font>
    <font>
      <sz val="9"/>
      <color indexed="81"/>
      <name val="Tahoma"/>
      <family val="2"/>
      <charset val="186"/>
    </font>
    <font>
      <sz val="10"/>
      <name val="Times New Roman"/>
      <family val="1"/>
    </font>
    <font>
      <b/>
      <sz val="9"/>
      <name val="Times New Roman"/>
      <family val="1"/>
      <charset val="186"/>
    </font>
    <font>
      <b/>
      <sz val="10"/>
      <name val="Times New Roman"/>
      <family val="1"/>
      <charset val="204"/>
    </font>
    <font>
      <sz val="10"/>
      <name val="Times New Roman"/>
      <family val="1"/>
      <charset val="204"/>
    </font>
    <font>
      <b/>
      <sz val="10"/>
      <name val="Times New Roman"/>
      <family val="1"/>
    </font>
    <font>
      <sz val="10"/>
      <color rgb="FFFF0000"/>
      <name val="Times New Roman"/>
      <family val="1"/>
      <charset val="186"/>
    </font>
    <font>
      <sz val="7"/>
      <name val="Times New Roman"/>
      <family val="1"/>
      <charset val="186"/>
    </font>
    <font>
      <b/>
      <sz val="9"/>
      <color indexed="81"/>
      <name val="Tahoma"/>
      <family val="2"/>
      <charset val="186"/>
    </font>
    <font>
      <b/>
      <sz val="10"/>
      <name val="Arial"/>
      <family val="2"/>
      <charset val="186"/>
    </font>
    <font>
      <b/>
      <sz val="9"/>
      <name val="Times New Roman"/>
      <family val="1"/>
    </font>
    <font>
      <i/>
      <sz val="10"/>
      <name val="Times New Roman"/>
      <family val="1"/>
      <charset val="186"/>
    </font>
    <font>
      <sz val="11"/>
      <name val="Calibri"/>
      <family val="2"/>
      <charset val="186"/>
      <scheme val="minor"/>
    </font>
    <font>
      <sz val="11"/>
      <name val="Times New Roman"/>
      <family val="1"/>
      <charset val="186"/>
    </font>
    <font>
      <b/>
      <sz val="9"/>
      <name val="Arial"/>
      <family val="2"/>
      <charset val="186"/>
    </font>
    <font>
      <u/>
      <sz val="10"/>
      <name val="Times New Roman"/>
      <family val="1"/>
      <charset val="186"/>
    </font>
    <font>
      <sz val="10"/>
      <color theme="1"/>
      <name val="Times New Roman"/>
      <family val="1"/>
      <charset val="186"/>
    </font>
    <font>
      <b/>
      <sz val="10"/>
      <name val="Cambria"/>
      <family val="1"/>
      <charset val="186"/>
    </font>
    <font>
      <sz val="10"/>
      <name val="Cambria"/>
      <family val="1"/>
      <charset val="186"/>
    </font>
    <font>
      <b/>
      <i/>
      <sz val="10"/>
      <name val="Times New Roman"/>
      <family val="1"/>
      <charset val="186"/>
    </font>
    <font>
      <sz val="10"/>
      <color rgb="FF00B050"/>
      <name val="Times New Roman"/>
      <family val="1"/>
      <charset val="186"/>
    </font>
    <font>
      <b/>
      <sz val="10"/>
      <color rgb="FF00B050"/>
      <name val="Times New Roman"/>
      <family val="1"/>
      <charset val="186"/>
    </font>
    <font>
      <sz val="12"/>
      <name val="Arial"/>
      <family val="2"/>
      <charset val="186"/>
    </font>
    <font>
      <sz val="11"/>
      <color rgb="FF000000"/>
      <name val="Calibri"/>
      <family val="2"/>
      <charset val="186"/>
    </font>
    <font>
      <b/>
      <sz val="10"/>
      <color theme="1"/>
      <name val="Times New Roman"/>
      <family val="1"/>
      <charset val="186"/>
    </font>
    <font>
      <strike/>
      <sz val="10"/>
      <color rgb="FFFF0000"/>
      <name val="Times New Roman"/>
      <family val="1"/>
      <charset val="186"/>
    </font>
    <font>
      <b/>
      <i/>
      <sz val="11"/>
      <color theme="1"/>
      <name val="Times New Roman"/>
      <family val="1"/>
      <charset val="186"/>
    </font>
    <font>
      <sz val="10"/>
      <color rgb="FFFF0000"/>
      <name val="Times New Roman"/>
      <family val="1"/>
    </font>
    <font>
      <strike/>
      <sz val="10"/>
      <name val="Times New Roman"/>
      <family val="1"/>
      <charset val="186"/>
    </font>
    <font>
      <i/>
      <sz val="8"/>
      <name val="Times New Roman"/>
      <family val="1"/>
      <charset val="186"/>
    </font>
    <font>
      <i/>
      <sz val="10"/>
      <name val="Times New Roman"/>
      <family val="1"/>
      <charset val="204"/>
    </font>
    <font>
      <i/>
      <sz val="10"/>
      <name val="Arial"/>
      <family val="2"/>
      <charset val="186"/>
    </font>
    <font>
      <b/>
      <sz val="10"/>
      <color rgb="FF000000"/>
      <name val="Times New Roman"/>
      <family val="1"/>
      <charset val="186"/>
    </font>
    <font>
      <sz val="11"/>
      <name val="Arial"/>
      <family val="2"/>
      <charset val="186"/>
    </font>
    <font>
      <sz val="10"/>
      <color rgb="FF000000"/>
      <name val="Times New Roman"/>
      <family val="1"/>
      <charset val="186"/>
    </font>
  </fonts>
  <fills count="1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indexed="22"/>
        <bgColor indexed="64"/>
      </patternFill>
    </fill>
    <fill>
      <patternFill patternType="solid">
        <fgColor theme="0"/>
        <bgColor indexed="64"/>
      </patternFill>
    </fill>
    <fill>
      <patternFill patternType="solid">
        <fgColor rgb="FFFFCCFF"/>
        <bgColor indexed="64"/>
      </patternFill>
    </fill>
    <fill>
      <patternFill patternType="solid">
        <fgColor theme="0" tint="-0.14999847407452621"/>
        <bgColor indexed="64"/>
      </patternFill>
    </fill>
    <fill>
      <patternFill patternType="solid">
        <fgColor rgb="FFCCFFCC"/>
        <bgColor indexed="64"/>
      </patternFill>
    </fill>
    <fill>
      <patternFill patternType="solid">
        <fgColor theme="3" tint="0.79998168889431442"/>
        <bgColor indexed="64"/>
      </patternFill>
    </fill>
    <fill>
      <patternFill patternType="solid">
        <fgColor rgb="FFC5D9F1"/>
        <bgColor indexed="64"/>
      </patternFill>
    </fill>
    <fill>
      <patternFill patternType="solid">
        <fgColor rgb="FFFFFFFF"/>
        <bgColor indexed="64"/>
      </patternFill>
    </fill>
    <fill>
      <patternFill patternType="solid">
        <fgColor theme="0"/>
        <bgColor rgb="FFD9D9D9"/>
      </patternFill>
    </fill>
    <fill>
      <patternFill patternType="solid">
        <fgColor rgb="FFFFFFCC"/>
        <bgColor indexed="64"/>
      </patternFill>
    </fill>
    <fill>
      <patternFill patternType="solid">
        <fgColor rgb="FF92D050"/>
        <bgColor indexed="64"/>
      </patternFill>
    </fill>
  </fills>
  <borders count="119">
    <border>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bottom/>
      <diagonal/>
    </border>
    <border>
      <left/>
      <right/>
      <top style="medium">
        <color indexed="64"/>
      </top>
      <bottom/>
      <diagonal/>
    </border>
    <border>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hair">
        <color indexed="64"/>
      </top>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style="thin">
        <color indexed="64"/>
      </left>
      <right/>
      <top style="hair">
        <color indexed="64"/>
      </top>
      <bottom/>
      <diagonal/>
    </border>
    <border>
      <left style="medium">
        <color indexed="64"/>
      </left>
      <right/>
      <top style="hair">
        <color indexed="64"/>
      </top>
      <bottom/>
      <diagonal/>
    </border>
    <border>
      <left/>
      <right/>
      <top/>
      <bottom style="hair">
        <color indexed="64"/>
      </bottom>
      <diagonal/>
    </border>
    <border>
      <left/>
      <right style="medium">
        <color indexed="64"/>
      </right>
      <top/>
      <bottom style="hair">
        <color indexed="64"/>
      </bottom>
      <diagonal/>
    </border>
    <border>
      <left/>
      <right/>
      <top style="hair">
        <color indexed="64"/>
      </top>
      <bottom style="hair">
        <color indexed="64"/>
      </bottom>
      <diagonal/>
    </border>
    <border>
      <left/>
      <right/>
      <top style="hair">
        <color indexed="64"/>
      </top>
      <bottom/>
      <diagonal/>
    </border>
    <border>
      <left/>
      <right style="medium">
        <color indexed="64"/>
      </right>
      <top style="hair">
        <color indexed="64"/>
      </top>
      <bottom/>
      <diagonal/>
    </border>
    <border>
      <left/>
      <right/>
      <top style="hair">
        <color indexed="64"/>
      </top>
      <bottom style="thin">
        <color indexed="64"/>
      </bottom>
      <diagonal/>
    </border>
    <border>
      <left/>
      <right/>
      <top style="thin">
        <color indexed="64"/>
      </top>
      <bottom style="hair">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style="thin">
        <color indexed="64"/>
      </bottom>
      <diagonal/>
    </border>
    <border>
      <left style="thin">
        <color indexed="64"/>
      </left>
      <right style="thin">
        <color indexed="64"/>
      </right>
      <top style="hair">
        <color indexed="64"/>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thin">
        <color indexed="64"/>
      </bottom>
      <diagonal/>
    </border>
    <border>
      <left/>
      <right style="medium">
        <color indexed="64"/>
      </right>
      <top style="hair">
        <color indexed="64"/>
      </top>
      <bottom style="thin">
        <color indexed="64"/>
      </bottom>
      <diagonal/>
    </border>
    <border>
      <left/>
      <right style="thin">
        <color indexed="64"/>
      </right>
      <top style="hair">
        <color indexed="64"/>
      </top>
      <bottom/>
      <diagonal/>
    </border>
  </borders>
  <cellStyleXfs count="4">
    <xf numFmtId="0" fontId="0" fillId="0" borderId="0"/>
    <xf numFmtId="0" fontId="7" fillId="0" borderId="0"/>
    <xf numFmtId="0" fontId="3" fillId="2" borderId="1" applyBorder="0">
      <alignment horizontal="left" vertical="top" wrapText="1"/>
    </xf>
    <xf numFmtId="166" fontId="33" fillId="0" borderId="0" applyBorder="0" applyProtection="0"/>
  </cellStyleXfs>
  <cellXfs count="2065">
    <xf numFmtId="0" fontId="0" fillId="0" borderId="0" xfId="0"/>
    <xf numFmtId="0" fontId="3" fillId="0" borderId="0" xfId="0" applyFont="1" applyAlignment="1">
      <alignment horizontal="lef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3" xfId="0" applyFont="1" applyBorder="1" applyAlignment="1">
      <alignment horizontal="center" vertical="center" textRotation="90"/>
    </xf>
    <xf numFmtId="0" fontId="3" fillId="0" borderId="0" xfId="0" applyFont="1" applyAlignment="1">
      <alignment vertical="top"/>
    </xf>
    <xf numFmtId="49" fontId="5" fillId="3" borderId="4" xfId="0" applyNumberFormat="1" applyFont="1" applyFill="1" applyBorder="1" applyAlignment="1">
      <alignment horizontal="center" vertical="top"/>
    </xf>
    <xf numFmtId="0" fontId="3" fillId="0" borderId="5" xfId="0" applyFont="1" applyFill="1" applyBorder="1" applyAlignment="1">
      <alignment horizontal="center" vertical="top" wrapText="1"/>
    </xf>
    <xf numFmtId="0" fontId="3" fillId="0" borderId="0" xfId="0" applyFont="1" applyFill="1" applyBorder="1" applyAlignment="1">
      <alignment vertical="top"/>
    </xf>
    <xf numFmtId="0" fontId="3" fillId="0" borderId="0" xfId="0" applyFont="1" applyFill="1" applyAlignment="1">
      <alignment vertical="top"/>
    </xf>
    <xf numFmtId="0" fontId="3" fillId="2" borderId="0" xfId="0" applyFont="1" applyFill="1" applyAlignment="1">
      <alignment vertical="top"/>
    </xf>
    <xf numFmtId="0" fontId="7" fillId="0" borderId="0" xfId="0" applyFont="1"/>
    <xf numFmtId="0" fontId="3" fillId="0" borderId="0" xfId="0" applyFont="1" applyAlignment="1">
      <alignment vertical="center"/>
    </xf>
    <xf numFmtId="0" fontId="5" fillId="0" borderId="0" xfId="0" applyFont="1" applyAlignment="1">
      <alignment horizontal="left" vertical="top"/>
    </xf>
    <xf numFmtId="165" fontId="3" fillId="0" borderId="0" xfId="0" applyNumberFormat="1" applyFont="1" applyAlignment="1">
      <alignment vertical="top"/>
    </xf>
    <xf numFmtId="165" fontId="3" fillId="0" borderId="0" xfId="0" applyNumberFormat="1" applyFont="1" applyAlignment="1">
      <alignment horizontal="left" vertical="top"/>
    </xf>
    <xf numFmtId="0" fontId="3" fillId="0" borderId="27" xfId="0" applyFont="1" applyFill="1" applyBorder="1" applyAlignment="1">
      <alignment vertical="top" wrapText="1"/>
    </xf>
    <xf numFmtId="0" fontId="3" fillId="0" borderId="0" xfId="0" applyNumberFormat="1" applyFont="1" applyFill="1" applyBorder="1" applyAlignment="1">
      <alignment vertical="top" wrapText="1"/>
    </xf>
    <xf numFmtId="164" fontId="3" fillId="0" borderId="0" xfId="0" applyNumberFormat="1" applyFont="1" applyAlignment="1">
      <alignment vertical="top"/>
    </xf>
    <xf numFmtId="0" fontId="3" fillId="0" borderId="0" xfId="0" applyFont="1" applyAlignment="1">
      <alignment horizontal="center" vertical="top"/>
    </xf>
    <xf numFmtId="49" fontId="5" fillId="4" borderId="52" xfId="0" applyNumberFormat="1" applyFont="1" applyFill="1" applyBorder="1" applyAlignment="1">
      <alignment horizontal="center" vertical="top"/>
    </xf>
    <xf numFmtId="0" fontId="3" fillId="0" borderId="20" xfId="0" applyFont="1" applyFill="1" applyBorder="1" applyAlignment="1">
      <alignment horizontal="center" vertical="top" wrapText="1"/>
    </xf>
    <xf numFmtId="0" fontId="5" fillId="8" borderId="58" xfId="0" applyFont="1" applyFill="1" applyBorder="1" applyAlignment="1">
      <alignment horizontal="center" vertical="top"/>
    </xf>
    <xf numFmtId="0" fontId="3" fillId="6" borderId="8" xfId="0" applyFont="1" applyFill="1" applyBorder="1" applyAlignment="1">
      <alignment horizontal="center" vertical="top"/>
    </xf>
    <xf numFmtId="49" fontId="5" fillId="10" borderId="13" xfId="0" applyNumberFormat="1" applyFont="1" applyFill="1" applyBorder="1" applyAlignment="1">
      <alignment horizontal="center" vertical="top" wrapText="1"/>
    </xf>
    <xf numFmtId="49" fontId="5" fillId="10" borderId="36" xfId="0" applyNumberFormat="1" applyFont="1" applyFill="1" applyBorder="1" applyAlignment="1">
      <alignment horizontal="center" vertical="top"/>
    </xf>
    <xf numFmtId="49" fontId="5" fillId="10" borderId="31" xfId="0" applyNumberFormat="1" applyFont="1" applyFill="1" applyBorder="1" applyAlignment="1">
      <alignment horizontal="center" vertical="top"/>
    </xf>
    <xf numFmtId="49" fontId="5" fillId="10" borderId="52" xfId="0" applyNumberFormat="1" applyFont="1" applyFill="1" applyBorder="1" applyAlignment="1">
      <alignment horizontal="center" vertical="top"/>
    </xf>
    <xf numFmtId="49" fontId="5" fillId="10" borderId="56" xfId="0" applyNumberFormat="1" applyFont="1" applyFill="1" applyBorder="1" applyAlignment="1">
      <alignment horizontal="center" vertical="top"/>
    </xf>
    <xf numFmtId="49" fontId="5" fillId="10" borderId="7" xfId="0" applyNumberFormat="1" applyFont="1" applyFill="1" applyBorder="1" applyAlignment="1">
      <alignment horizontal="center" vertical="top" wrapText="1"/>
    </xf>
    <xf numFmtId="0" fontId="3" fillId="6" borderId="73" xfId="0" applyFont="1" applyFill="1" applyBorder="1" applyAlignment="1">
      <alignment horizontal="left" vertical="top" wrapText="1"/>
    </xf>
    <xf numFmtId="49" fontId="3" fillId="6" borderId="14" xfId="0" applyNumberFormat="1" applyFont="1" applyFill="1" applyBorder="1" applyAlignment="1">
      <alignment horizontal="center" vertical="top" wrapText="1"/>
    </xf>
    <xf numFmtId="49" fontId="5" fillId="6" borderId="55" xfId="0" applyNumberFormat="1" applyFont="1" applyFill="1" applyBorder="1" applyAlignment="1">
      <alignment horizontal="center" vertical="top"/>
    </xf>
    <xf numFmtId="3" fontId="3" fillId="6" borderId="18" xfId="0" applyNumberFormat="1" applyFont="1" applyFill="1" applyBorder="1" applyAlignment="1">
      <alignment horizontal="center" vertical="top" wrapText="1"/>
    </xf>
    <xf numFmtId="0" fontId="5" fillId="8" borderId="31" xfId="0" applyFont="1" applyFill="1" applyBorder="1" applyAlignment="1">
      <alignment horizontal="center" vertical="top"/>
    </xf>
    <xf numFmtId="0" fontId="3" fillId="0" borderId="8" xfId="0" applyFont="1" applyBorder="1" applyAlignment="1">
      <alignment horizontal="center" vertical="top"/>
    </xf>
    <xf numFmtId="49" fontId="5" fillId="10" borderId="13" xfId="0" applyNumberFormat="1" applyFont="1" applyFill="1" applyBorder="1" applyAlignment="1">
      <alignment horizontal="center" vertical="top"/>
    </xf>
    <xf numFmtId="49" fontId="5" fillId="3" borderId="2" xfId="0" applyNumberFormat="1" applyFont="1" applyFill="1" applyBorder="1" applyAlignment="1">
      <alignment horizontal="center" vertical="top"/>
    </xf>
    <xf numFmtId="3" fontId="3" fillId="6" borderId="22" xfId="0" applyNumberFormat="1" applyFont="1" applyFill="1" applyBorder="1" applyAlignment="1">
      <alignment horizontal="center" vertical="top" wrapText="1"/>
    </xf>
    <xf numFmtId="3" fontId="3" fillId="6" borderId="24" xfId="0" applyNumberFormat="1" applyFont="1" applyFill="1" applyBorder="1" applyAlignment="1">
      <alignment horizontal="center" vertical="top" wrapText="1"/>
    </xf>
    <xf numFmtId="3" fontId="3" fillId="0" borderId="0" xfId="0" applyNumberFormat="1" applyFont="1" applyAlignment="1">
      <alignment horizontal="center" vertical="top"/>
    </xf>
    <xf numFmtId="0" fontId="3" fillId="6" borderId="73" xfId="0" applyFont="1" applyFill="1" applyBorder="1" applyAlignment="1">
      <alignment vertical="top" wrapText="1"/>
    </xf>
    <xf numFmtId="0" fontId="3" fillId="0" borderId="87" xfId="0" applyFont="1" applyFill="1" applyBorder="1" applyAlignment="1">
      <alignment vertical="top" wrapText="1"/>
    </xf>
    <xf numFmtId="3" fontId="3" fillId="0" borderId="0" xfId="0" applyNumberFormat="1" applyFont="1" applyAlignment="1">
      <alignment vertical="top"/>
    </xf>
    <xf numFmtId="0" fontId="3" fillId="2" borderId="78" xfId="0" applyFont="1" applyFill="1" applyBorder="1" applyAlignment="1">
      <alignment horizontal="left" vertical="top" wrapText="1"/>
    </xf>
    <xf numFmtId="0" fontId="3" fillId="0" borderId="6" xfId="0" applyFont="1" applyBorder="1" applyAlignment="1">
      <alignment horizontal="center" vertical="center"/>
    </xf>
    <xf numFmtId="49" fontId="5" fillId="2" borderId="46" xfId="0" applyNumberFormat="1" applyFont="1" applyFill="1" applyBorder="1" applyAlignment="1">
      <alignment horizontal="center" vertical="top" wrapText="1"/>
    </xf>
    <xf numFmtId="3" fontId="3" fillId="0" borderId="0" xfId="0" applyNumberFormat="1" applyFont="1" applyBorder="1" applyAlignment="1">
      <alignment vertical="top"/>
    </xf>
    <xf numFmtId="0" fontId="5" fillId="6" borderId="16" xfId="0" applyFont="1" applyFill="1" applyBorder="1" applyAlignment="1">
      <alignment horizontal="center" vertical="center"/>
    </xf>
    <xf numFmtId="0" fontId="3" fillId="6" borderId="5" xfId="0" applyFont="1" applyFill="1" applyBorder="1" applyAlignment="1">
      <alignment horizontal="center" vertical="center"/>
    </xf>
    <xf numFmtId="0" fontId="3" fillId="6" borderId="8" xfId="0" applyFont="1" applyFill="1" applyBorder="1" applyAlignment="1">
      <alignment horizontal="center" vertical="center"/>
    </xf>
    <xf numFmtId="0" fontId="3" fillId="6" borderId="20" xfId="0" applyFont="1" applyFill="1" applyBorder="1" applyAlignment="1">
      <alignment horizontal="center" vertical="center"/>
    </xf>
    <xf numFmtId="49" fontId="5" fillId="6" borderId="46" xfId="0" applyNumberFormat="1" applyFont="1" applyFill="1" applyBorder="1" applyAlignment="1">
      <alignment horizontal="center" vertical="center"/>
    </xf>
    <xf numFmtId="0" fontId="3" fillId="6" borderId="5" xfId="0" applyFont="1" applyFill="1" applyBorder="1" applyAlignment="1">
      <alignment horizontal="center" vertical="top"/>
    </xf>
    <xf numFmtId="0" fontId="3" fillId="6" borderId="20" xfId="0" applyFont="1" applyFill="1" applyBorder="1" applyAlignment="1">
      <alignment horizontal="center" vertical="top"/>
    </xf>
    <xf numFmtId="0" fontId="3" fillId="6" borderId="6" xfId="0" applyFont="1" applyFill="1" applyBorder="1" applyAlignment="1">
      <alignment horizontal="center" vertical="top" wrapText="1"/>
    </xf>
    <xf numFmtId="49" fontId="5" fillId="9" borderId="22" xfId="0" applyNumberFormat="1" applyFont="1" applyFill="1" applyBorder="1" applyAlignment="1">
      <alignment horizontal="center" vertical="top"/>
    </xf>
    <xf numFmtId="3" fontId="7" fillId="0" borderId="0" xfId="0" applyNumberFormat="1" applyFont="1" applyFill="1" applyAlignment="1">
      <alignment horizontal="left" vertical="top"/>
    </xf>
    <xf numFmtId="0" fontId="3" fillId="6" borderId="20" xfId="0" applyFont="1" applyFill="1" applyBorder="1" applyAlignment="1">
      <alignment horizontal="center" vertical="center" wrapText="1"/>
    </xf>
    <xf numFmtId="3" fontId="3" fillId="0" borderId="29" xfId="0" applyNumberFormat="1" applyFont="1" applyFill="1" applyBorder="1" applyAlignment="1">
      <alignment horizontal="center" vertical="top"/>
    </xf>
    <xf numFmtId="49" fontId="3" fillId="6" borderId="42" xfId="0" applyNumberFormat="1" applyFont="1" applyFill="1" applyBorder="1" applyAlignment="1">
      <alignment horizontal="center" vertical="top"/>
    </xf>
    <xf numFmtId="49" fontId="5" fillId="6" borderId="0" xfId="0" applyNumberFormat="1" applyFont="1" applyFill="1" applyBorder="1" applyAlignment="1">
      <alignment horizontal="center" vertical="top"/>
    </xf>
    <xf numFmtId="49" fontId="3" fillId="6" borderId="14" xfId="0" applyNumberFormat="1" applyFont="1" applyFill="1" applyBorder="1" applyAlignment="1">
      <alignment horizontal="center" vertical="top"/>
    </xf>
    <xf numFmtId="49" fontId="5" fillId="3" borderId="69" xfId="0" applyNumberFormat="1" applyFont="1" applyFill="1" applyBorder="1" applyAlignment="1">
      <alignment horizontal="center" vertical="top"/>
    </xf>
    <xf numFmtId="49" fontId="5" fillId="0" borderId="11" xfId="0" applyNumberFormat="1" applyFont="1" applyFill="1" applyBorder="1" applyAlignment="1">
      <alignment horizontal="center" vertical="top"/>
    </xf>
    <xf numFmtId="3" fontId="3" fillId="6" borderId="30" xfId="0" applyNumberFormat="1" applyFont="1" applyFill="1" applyBorder="1" applyAlignment="1">
      <alignment horizontal="center" vertical="top" wrapText="1"/>
    </xf>
    <xf numFmtId="0" fontId="7" fillId="6" borderId="16" xfId="0" applyFont="1" applyFill="1" applyBorder="1" applyAlignment="1">
      <alignment horizontal="center" vertical="center" wrapText="1"/>
    </xf>
    <xf numFmtId="3" fontId="3" fillId="6" borderId="14" xfId="0" applyNumberFormat="1" applyFont="1" applyFill="1" applyBorder="1" applyAlignment="1">
      <alignment horizontal="center" vertical="top" wrapText="1"/>
    </xf>
    <xf numFmtId="49" fontId="5" fillId="11" borderId="67" xfId="0" applyNumberFormat="1" applyFont="1" applyFill="1" applyBorder="1" applyAlignment="1">
      <alignment horizontal="center" vertical="top"/>
    </xf>
    <xf numFmtId="49" fontId="5" fillId="11" borderId="36" xfId="0" applyNumberFormat="1" applyFont="1" applyFill="1" applyBorder="1" applyAlignment="1">
      <alignment horizontal="center" vertical="top"/>
    </xf>
    <xf numFmtId="0" fontId="3" fillId="6" borderId="62" xfId="0" applyFont="1" applyFill="1" applyBorder="1" applyAlignment="1">
      <alignment horizontal="center" vertical="center" textRotation="90" wrapText="1"/>
    </xf>
    <xf numFmtId="0" fontId="5" fillId="0" borderId="11" xfId="0" applyFont="1" applyFill="1" applyBorder="1" applyAlignment="1">
      <alignment horizontal="left" vertical="top" wrapText="1"/>
    </xf>
    <xf numFmtId="0" fontId="3" fillId="6" borderId="16" xfId="0" applyFont="1" applyFill="1" applyBorder="1" applyAlignment="1">
      <alignment horizontal="center" vertical="center"/>
    </xf>
    <xf numFmtId="0" fontId="7" fillId="6" borderId="35" xfId="0" applyFont="1" applyFill="1" applyBorder="1" applyAlignment="1">
      <alignment horizontal="center" vertical="center" textRotation="90" wrapText="1"/>
    </xf>
    <xf numFmtId="0" fontId="7" fillId="6" borderId="17" xfId="0" applyFont="1" applyFill="1" applyBorder="1" applyAlignment="1">
      <alignment horizontal="center" vertical="center" textRotation="90" wrapText="1"/>
    </xf>
    <xf numFmtId="0" fontId="3" fillId="0" borderId="25" xfId="0" applyFont="1" applyBorder="1" applyAlignment="1">
      <alignment horizontal="center" vertical="center"/>
    </xf>
    <xf numFmtId="0" fontId="3" fillId="6" borderId="80" xfId="0" applyFont="1" applyFill="1" applyBorder="1" applyAlignment="1">
      <alignment vertical="center" wrapText="1"/>
    </xf>
    <xf numFmtId="165" fontId="5" fillId="8" borderId="19" xfId="0" applyNumberFormat="1" applyFont="1" applyFill="1" applyBorder="1" applyAlignment="1">
      <alignment horizontal="center" vertical="top" wrapText="1"/>
    </xf>
    <xf numFmtId="165" fontId="3" fillId="0" borderId="19" xfId="0" applyNumberFormat="1" applyFont="1" applyBorder="1" applyAlignment="1">
      <alignment horizontal="center" vertical="top" wrapText="1"/>
    </xf>
    <xf numFmtId="165" fontId="3" fillId="8" borderId="19" xfId="0" applyNumberFormat="1" applyFont="1" applyFill="1" applyBorder="1" applyAlignment="1">
      <alignment horizontal="center" vertical="top" wrapText="1"/>
    </xf>
    <xf numFmtId="0" fontId="7" fillId="6" borderId="14" xfId="0" applyFont="1" applyFill="1" applyBorder="1" applyAlignment="1">
      <alignment horizontal="center" vertical="center" textRotation="90" wrapText="1"/>
    </xf>
    <xf numFmtId="165" fontId="3" fillId="6" borderId="17" xfId="0" applyNumberFormat="1" applyFont="1" applyFill="1" applyBorder="1" applyAlignment="1">
      <alignment horizontal="center" vertical="top"/>
    </xf>
    <xf numFmtId="165" fontId="3" fillId="6" borderId="47" xfId="0" applyNumberFormat="1" applyFont="1" applyFill="1" applyBorder="1" applyAlignment="1">
      <alignment horizontal="center" vertical="top"/>
    </xf>
    <xf numFmtId="165" fontId="3" fillId="6" borderId="35" xfId="0" applyNumberFormat="1" applyFont="1" applyFill="1" applyBorder="1" applyAlignment="1">
      <alignment horizontal="center" vertical="top"/>
    </xf>
    <xf numFmtId="165" fontId="3" fillId="6" borderId="68" xfId="0" applyNumberFormat="1" applyFont="1" applyFill="1" applyBorder="1" applyAlignment="1">
      <alignment horizontal="center" vertical="top"/>
    </xf>
    <xf numFmtId="165" fontId="3" fillId="6" borderId="45" xfId="0" applyNumberFormat="1" applyFont="1" applyFill="1" applyBorder="1" applyAlignment="1">
      <alignment horizontal="center" vertical="top"/>
    </xf>
    <xf numFmtId="165" fontId="3" fillId="6" borderId="0" xfId="0" applyNumberFormat="1" applyFont="1" applyFill="1" applyBorder="1" applyAlignment="1">
      <alignment horizontal="center" vertical="top"/>
    </xf>
    <xf numFmtId="165" fontId="3" fillId="6" borderId="5" xfId="0" applyNumberFormat="1" applyFont="1" applyFill="1" applyBorder="1" applyAlignment="1">
      <alignment horizontal="center" vertical="top"/>
    </xf>
    <xf numFmtId="165" fontId="3" fillId="6" borderId="20" xfId="0" applyNumberFormat="1" applyFont="1" applyFill="1" applyBorder="1" applyAlignment="1">
      <alignment horizontal="center" vertical="top"/>
    </xf>
    <xf numFmtId="165" fontId="3" fillId="6" borderId="94" xfId="0" applyNumberFormat="1" applyFont="1" applyFill="1" applyBorder="1" applyAlignment="1">
      <alignment horizontal="center" vertical="top"/>
    </xf>
    <xf numFmtId="165" fontId="3" fillId="6" borderId="19" xfId="0" applyNumberFormat="1" applyFont="1" applyFill="1" applyBorder="1" applyAlignment="1">
      <alignment horizontal="center" vertical="top"/>
    </xf>
    <xf numFmtId="165" fontId="3" fillId="6" borderId="0" xfId="0" applyNumberFormat="1" applyFont="1" applyFill="1" applyBorder="1" applyAlignment="1">
      <alignment horizontal="center" vertical="center"/>
    </xf>
    <xf numFmtId="165" fontId="5" fillId="3" borderId="21" xfId="0" applyNumberFormat="1" applyFont="1" applyFill="1" applyBorder="1" applyAlignment="1">
      <alignment horizontal="center" vertical="top"/>
    </xf>
    <xf numFmtId="165" fontId="3" fillId="6" borderId="53" xfId="0" applyNumberFormat="1" applyFont="1" applyFill="1" applyBorder="1" applyAlignment="1">
      <alignment horizontal="center" vertical="top"/>
    </xf>
    <xf numFmtId="165" fontId="3" fillId="6" borderId="80" xfId="0" applyNumberFormat="1" applyFont="1" applyFill="1" applyBorder="1" applyAlignment="1">
      <alignment horizontal="center" vertical="top"/>
    </xf>
    <xf numFmtId="165" fontId="5" fillId="10" borderId="56" xfId="0" applyNumberFormat="1" applyFont="1" applyFill="1" applyBorder="1" applyAlignment="1">
      <alignment horizontal="center" vertical="top"/>
    </xf>
    <xf numFmtId="165" fontId="5" fillId="4" borderId="56" xfId="0" applyNumberFormat="1" applyFont="1" applyFill="1" applyBorder="1" applyAlignment="1">
      <alignment horizontal="center" vertical="top"/>
    </xf>
    <xf numFmtId="49" fontId="5" fillId="9" borderId="43" xfId="0" applyNumberFormat="1" applyFont="1" applyFill="1" applyBorder="1" applyAlignment="1">
      <alignment horizontal="center" vertical="top"/>
    </xf>
    <xf numFmtId="0" fontId="3" fillId="0" borderId="54" xfId="0" applyFont="1" applyBorder="1" applyAlignment="1">
      <alignment horizontal="center" vertical="center" textRotation="90" wrapText="1"/>
    </xf>
    <xf numFmtId="0" fontId="5" fillId="6" borderId="63" xfId="0" applyFont="1" applyFill="1" applyBorder="1" applyAlignment="1">
      <alignment horizontal="center" vertical="top" wrapText="1"/>
    </xf>
    <xf numFmtId="0" fontId="5" fillId="6" borderId="65" xfId="0" applyFont="1" applyFill="1" applyBorder="1" applyAlignment="1">
      <alignment horizontal="center" vertical="top" wrapText="1"/>
    </xf>
    <xf numFmtId="0" fontId="5" fillId="6" borderId="35" xfId="0" applyFont="1" applyFill="1" applyBorder="1" applyAlignment="1">
      <alignment horizontal="center" vertical="top" wrapText="1"/>
    </xf>
    <xf numFmtId="49" fontId="5" fillId="6" borderId="44" xfId="0" applyNumberFormat="1" applyFont="1" applyFill="1" applyBorder="1" applyAlignment="1">
      <alignment horizontal="center" vertical="top"/>
    </xf>
    <xf numFmtId="49" fontId="5" fillId="6" borderId="28" xfId="0" applyNumberFormat="1" applyFont="1" applyFill="1" applyBorder="1" applyAlignment="1">
      <alignment horizontal="center" vertical="center"/>
    </xf>
    <xf numFmtId="3" fontId="5" fillId="6" borderId="24" xfId="0" applyNumberFormat="1" applyFont="1" applyFill="1" applyBorder="1" applyAlignment="1">
      <alignment horizontal="center" vertical="top" wrapText="1"/>
    </xf>
    <xf numFmtId="3" fontId="5" fillId="6" borderId="14" xfId="0" applyNumberFormat="1" applyFont="1" applyFill="1" applyBorder="1" applyAlignment="1">
      <alignment horizontal="center" vertical="top" wrapText="1"/>
    </xf>
    <xf numFmtId="165" fontId="3" fillId="6" borderId="42" xfId="0" applyNumberFormat="1" applyFont="1" applyFill="1" applyBorder="1" applyAlignment="1">
      <alignment horizontal="center" vertical="top"/>
    </xf>
    <xf numFmtId="165" fontId="3" fillId="6" borderId="9" xfId="0" applyNumberFormat="1" applyFont="1" applyFill="1" applyBorder="1" applyAlignment="1">
      <alignment horizontal="center" vertical="top"/>
    </xf>
    <xf numFmtId="165" fontId="3" fillId="6" borderId="41"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165" fontId="3" fillId="6" borderId="37" xfId="0" applyNumberFormat="1" applyFont="1" applyFill="1" applyBorder="1" applyAlignment="1">
      <alignment horizontal="center" vertical="top"/>
    </xf>
    <xf numFmtId="165" fontId="3" fillId="6" borderId="67" xfId="0" applyNumberFormat="1" applyFont="1" applyFill="1" applyBorder="1" applyAlignment="1">
      <alignment horizontal="center" vertical="top"/>
    </xf>
    <xf numFmtId="0" fontId="3" fillId="6" borderId="0" xfId="0" applyFont="1" applyFill="1" applyBorder="1" applyAlignment="1">
      <alignment vertical="top" wrapText="1"/>
    </xf>
    <xf numFmtId="0" fontId="22" fillId="0" borderId="0" xfId="0" applyFont="1"/>
    <xf numFmtId="0" fontId="3" fillId="0" borderId="64" xfId="0" applyFont="1" applyBorder="1" applyAlignment="1">
      <alignment horizontal="center" vertical="center" textRotation="90"/>
    </xf>
    <xf numFmtId="165" fontId="3" fillId="0" borderId="20" xfId="0" applyNumberFormat="1" applyFont="1" applyBorder="1" applyAlignment="1">
      <alignment horizontal="center" vertical="top"/>
    </xf>
    <xf numFmtId="165" fontId="3" fillId="2" borderId="77" xfId="0" applyNumberFormat="1" applyFont="1" applyFill="1" applyBorder="1" applyAlignment="1">
      <alignment horizontal="center" vertical="top"/>
    </xf>
    <xf numFmtId="3" fontId="3" fillId="6" borderId="46" xfId="0" applyNumberFormat="1" applyFont="1" applyFill="1" applyBorder="1" applyAlignment="1">
      <alignment horizontal="center" vertical="top" wrapText="1"/>
    </xf>
    <xf numFmtId="3" fontId="3" fillId="6" borderId="44" xfId="0" applyNumberFormat="1" applyFont="1" applyFill="1" applyBorder="1" applyAlignment="1">
      <alignment horizontal="center" vertical="top" wrapText="1"/>
    </xf>
    <xf numFmtId="3" fontId="3" fillId="6" borderId="28" xfId="0" applyNumberFormat="1" applyFont="1" applyFill="1" applyBorder="1" applyAlignment="1">
      <alignment horizontal="center" vertical="top" wrapText="1"/>
    </xf>
    <xf numFmtId="165" fontId="3" fillId="6" borderId="49" xfId="0" applyNumberFormat="1" applyFont="1" applyFill="1" applyBorder="1" applyAlignment="1">
      <alignment horizontal="center" vertical="top" wrapText="1"/>
    </xf>
    <xf numFmtId="3" fontId="3" fillId="6" borderId="14" xfId="1" applyNumberFormat="1" applyFont="1" applyFill="1" applyBorder="1" applyAlignment="1">
      <alignment horizontal="center" vertical="top"/>
    </xf>
    <xf numFmtId="165" fontId="3" fillId="0" borderId="11" xfId="0" applyNumberFormat="1" applyFont="1" applyFill="1" applyBorder="1" applyAlignment="1">
      <alignment horizontal="center" vertical="top" wrapText="1"/>
    </xf>
    <xf numFmtId="1" fontId="3" fillId="6" borderId="14" xfId="0" applyNumberFormat="1" applyFont="1" applyFill="1" applyBorder="1" applyAlignment="1">
      <alignment horizontal="center" vertical="top" wrapText="1"/>
    </xf>
    <xf numFmtId="164" fontId="2" fillId="6" borderId="18" xfId="0" applyNumberFormat="1" applyFont="1" applyFill="1" applyBorder="1" applyAlignment="1">
      <alignment horizontal="center" vertical="center" wrapText="1"/>
    </xf>
    <xf numFmtId="165" fontId="3" fillId="6" borderId="18" xfId="0" applyNumberFormat="1" applyFont="1" applyFill="1" applyBorder="1" applyAlignment="1">
      <alignment horizontal="center" vertical="top"/>
    </xf>
    <xf numFmtId="0" fontId="3" fillId="6" borderId="61" xfId="1" applyFont="1" applyFill="1" applyBorder="1" applyAlignment="1">
      <alignment vertical="top" wrapText="1"/>
    </xf>
    <xf numFmtId="165" fontId="3" fillId="6" borderId="88" xfId="0" applyNumberFormat="1" applyFont="1" applyFill="1" applyBorder="1" applyAlignment="1">
      <alignment horizontal="center" vertical="top"/>
    </xf>
    <xf numFmtId="0" fontId="3" fillId="0" borderId="9" xfId="0" applyFont="1" applyFill="1" applyBorder="1" applyAlignment="1">
      <alignment vertical="top" wrapText="1"/>
    </xf>
    <xf numFmtId="4" fontId="3" fillId="2" borderId="46" xfId="0" applyNumberFormat="1" applyFont="1" applyFill="1" applyBorder="1" applyAlignment="1">
      <alignment horizontal="center" vertical="top"/>
    </xf>
    <xf numFmtId="165" fontId="3" fillId="6" borderId="6" xfId="0" applyNumberFormat="1" applyFont="1" applyFill="1" applyBorder="1" applyAlignment="1">
      <alignment horizontal="center" vertical="top"/>
    </xf>
    <xf numFmtId="165" fontId="3" fillId="6" borderId="51" xfId="0" applyNumberFormat="1" applyFont="1" applyFill="1" applyBorder="1" applyAlignment="1">
      <alignment horizontal="center" vertical="top"/>
    </xf>
    <xf numFmtId="165" fontId="3" fillId="6" borderId="48" xfId="0" applyNumberFormat="1" applyFont="1" applyFill="1" applyBorder="1" applyAlignment="1">
      <alignment horizontal="center" vertical="top"/>
    </xf>
    <xf numFmtId="165" fontId="3" fillId="6" borderId="49" xfId="0" applyNumberFormat="1" applyFont="1" applyFill="1" applyBorder="1" applyAlignment="1">
      <alignment horizontal="center" vertical="center"/>
    </xf>
    <xf numFmtId="165" fontId="3" fillId="6" borderId="8" xfId="0" applyNumberFormat="1" applyFont="1" applyFill="1" applyBorder="1" applyAlignment="1">
      <alignment horizontal="center" vertical="center"/>
    </xf>
    <xf numFmtId="165" fontId="3" fillId="6" borderId="14" xfId="0" applyNumberFormat="1" applyFont="1" applyFill="1" applyBorder="1" applyAlignment="1">
      <alignment horizontal="center" vertical="center"/>
    </xf>
    <xf numFmtId="165" fontId="3" fillId="6" borderId="72" xfId="0" applyNumberFormat="1" applyFont="1" applyFill="1" applyBorder="1" applyAlignment="1">
      <alignment horizontal="center" vertical="top"/>
    </xf>
    <xf numFmtId="165" fontId="3" fillId="6" borderId="92" xfId="0" applyNumberFormat="1" applyFont="1" applyFill="1" applyBorder="1" applyAlignment="1">
      <alignment horizontal="center" vertical="top"/>
    </xf>
    <xf numFmtId="165" fontId="3" fillId="6" borderId="96" xfId="0" applyNumberFormat="1" applyFont="1" applyFill="1" applyBorder="1" applyAlignment="1">
      <alignment horizontal="center" vertical="top"/>
    </xf>
    <xf numFmtId="49" fontId="3" fillId="6" borderId="0" xfId="0" applyNumberFormat="1" applyFont="1" applyFill="1" applyBorder="1" applyAlignment="1">
      <alignment horizontal="center" vertical="top" wrapText="1"/>
    </xf>
    <xf numFmtId="165" fontId="3" fillId="6" borderId="24" xfId="0" applyNumberFormat="1" applyFont="1" applyFill="1" applyBorder="1" applyAlignment="1">
      <alignment horizontal="center" vertical="top"/>
    </xf>
    <xf numFmtId="165" fontId="3" fillId="6" borderId="66" xfId="0" applyNumberFormat="1" applyFont="1" applyFill="1" applyBorder="1" applyAlignment="1">
      <alignment horizontal="center" vertical="top"/>
    </xf>
    <xf numFmtId="165" fontId="3" fillId="6" borderId="8" xfId="0" applyNumberFormat="1" applyFont="1" applyFill="1" applyBorder="1" applyAlignment="1">
      <alignment horizontal="center" vertical="top" wrapText="1"/>
    </xf>
    <xf numFmtId="165" fontId="3" fillId="6" borderId="20" xfId="0" applyNumberFormat="1" applyFont="1" applyFill="1" applyBorder="1" applyAlignment="1">
      <alignment horizontal="center" vertical="top" wrapText="1"/>
    </xf>
    <xf numFmtId="0" fontId="3" fillId="0" borderId="43" xfId="0" applyFont="1" applyBorder="1" applyAlignment="1">
      <alignment horizontal="center" vertical="center"/>
    </xf>
    <xf numFmtId="3" fontId="3" fillId="6" borderId="46" xfId="0" applyNumberFormat="1" applyFont="1" applyFill="1" applyBorder="1" applyAlignment="1">
      <alignment horizontal="center" vertical="top"/>
    </xf>
    <xf numFmtId="3" fontId="3" fillId="6" borderId="44" xfId="0" applyNumberFormat="1" applyFont="1" applyFill="1" applyBorder="1" applyAlignment="1">
      <alignment horizontal="center" vertical="top"/>
    </xf>
    <xf numFmtId="3" fontId="3" fillId="6" borderId="28" xfId="0" applyNumberFormat="1" applyFont="1" applyFill="1" applyBorder="1" applyAlignment="1">
      <alignment horizontal="center" vertical="top"/>
    </xf>
    <xf numFmtId="3" fontId="3" fillId="6" borderId="46" xfId="0" applyNumberFormat="1" applyFont="1" applyFill="1" applyBorder="1" applyAlignment="1">
      <alignment vertical="top" wrapText="1"/>
    </xf>
    <xf numFmtId="0" fontId="3" fillId="0" borderId="24" xfId="0" applyFont="1" applyBorder="1" applyAlignment="1">
      <alignment horizontal="center" vertical="center"/>
    </xf>
    <xf numFmtId="0" fontId="3" fillId="6" borderId="14" xfId="0" applyFont="1" applyFill="1" applyBorder="1" applyAlignment="1">
      <alignment horizontal="center" vertical="top"/>
    </xf>
    <xf numFmtId="0" fontId="3" fillId="6" borderId="74" xfId="0" applyFont="1" applyFill="1" applyBorder="1" applyAlignment="1">
      <alignment horizontal="center" vertical="center"/>
    </xf>
    <xf numFmtId="3" fontId="3" fillId="6" borderId="14" xfId="0" applyNumberFormat="1" applyFont="1" applyFill="1" applyBorder="1" applyAlignment="1">
      <alignment horizontal="center" vertical="top"/>
    </xf>
    <xf numFmtId="3" fontId="3" fillId="6" borderId="18" xfId="0" applyNumberFormat="1" applyFont="1" applyFill="1" applyBorder="1" applyAlignment="1">
      <alignment horizontal="center" vertical="top"/>
    </xf>
    <xf numFmtId="3" fontId="3" fillId="6" borderId="30" xfId="0" applyNumberFormat="1" applyFont="1" applyFill="1" applyBorder="1" applyAlignment="1">
      <alignment horizontal="center" vertical="top"/>
    </xf>
    <xf numFmtId="165" fontId="5" fillId="8" borderId="31" xfId="0" applyNumberFormat="1" applyFont="1" applyFill="1" applyBorder="1" applyAlignment="1">
      <alignment horizontal="center" vertical="top"/>
    </xf>
    <xf numFmtId="165" fontId="5" fillId="3" borderId="56" xfId="0" applyNumberFormat="1" applyFont="1" applyFill="1" applyBorder="1" applyAlignment="1">
      <alignment horizontal="center" vertical="top"/>
    </xf>
    <xf numFmtId="3" fontId="3" fillId="6" borderId="42" xfId="0" applyNumberFormat="1" applyFont="1" applyFill="1" applyBorder="1" applyAlignment="1">
      <alignment horizontal="right" vertical="center"/>
    </xf>
    <xf numFmtId="165" fontId="3" fillId="2" borderId="36" xfId="0" applyNumberFormat="1" applyFont="1" applyFill="1" applyBorder="1" applyAlignment="1">
      <alignment horizontal="center" vertical="top"/>
    </xf>
    <xf numFmtId="0" fontId="3" fillId="6" borderId="42" xfId="0" applyFont="1" applyFill="1" applyBorder="1" applyAlignment="1">
      <alignment horizontal="center" vertical="top" wrapText="1"/>
    </xf>
    <xf numFmtId="3" fontId="3" fillId="6" borderId="74" xfId="0" applyNumberFormat="1" applyFont="1" applyFill="1" applyBorder="1" applyAlignment="1">
      <alignment horizontal="center" vertical="top"/>
    </xf>
    <xf numFmtId="3" fontId="3" fillId="6" borderId="23" xfId="0" applyNumberFormat="1" applyFont="1" applyFill="1" applyBorder="1" applyAlignment="1">
      <alignment horizontal="center" vertical="top"/>
    </xf>
    <xf numFmtId="165" fontId="20" fillId="8" borderId="31" xfId="0" applyNumberFormat="1" applyFont="1" applyFill="1" applyBorder="1" applyAlignment="1">
      <alignment horizontal="center" vertical="top"/>
    </xf>
    <xf numFmtId="165" fontId="20" fillId="8" borderId="22" xfId="0" applyNumberFormat="1" applyFont="1" applyFill="1" applyBorder="1" applyAlignment="1">
      <alignment horizontal="center" vertical="top"/>
    </xf>
    <xf numFmtId="165" fontId="3" fillId="6" borderId="50" xfId="0" applyNumberFormat="1" applyFont="1" applyFill="1" applyBorder="1" applyAlignment="1">
      <alignment horizontal="center" vertical="top"/>
    </xf>
    <xf numFmtId="49" fontId="3" fillId="6" borderId="97" xfId="0" applyNumberFormat="1" applyFont="1" applyFill="1" applyBorder="1" applyAlignment="1">
      <alignment horizontal="center" vertical="top" wrapText="1"/>
    </xf>
    <xf numFmtId="49" fontId="3" fillId="6" borderId="71" xfId="0" applyNumberFormat="1" applyFont="1" applyFill="1" applyBorder="1" applyAlignment="1">
      <alignment horizontal="center" vertical="top" wrapText="1"/>
    </xf>
    <xf numFmtId="0" fontId="3" fillId="6" borderId="14" xfId="0" applyFont="1" applyFill="1" applyBorder="1" applyAlignment="1">
      <alignment horizontal="center" vertical="top" wrapText="1"/>
    </xf>
    <xf numFmtId="0" fontId="3" fillId="6" borderId="30" xfId="0" applyFont="1" applyFill="1" applyBorder="1" applyAlignment="1">
      <alignment horizontal="center" vertical="top" wrapText="1"/>
    </xf>
    <xf numFmtId="0" fontId="3" fillId="6" borderId="28" xfId="0" applyFont="1" applyFill="1" applyBorder="1" applyAlignment="1">
      <alignment horizontal="center" vertical="top" wrapText="1"/>
    </xf>
    <xf numFmtId="3" fontId="5" fillId="6" borderId="25" xfId="0" applyNumberFormat="1" applyFont="1" applyFill="1" applyBorder="1" applyAlignment="1">
      <alignment horizontal="center" vertical="top" wrapText="1"/>
    </xf>
    <xf numFmtId="3" fontId="5" fillId="6" borderId="16" xfId="0" applyNumberFormat="1" applyFont="1" applyFill="1" applyBorder="1" applyAlignment="1">
      <alignment horizontal="center" vertical="top" wrapText="1"/>
    </xf>
    <xf numFmtId="3" fontId="3" fillId="6" borderId="29" xfId="0" applyNumberFormat="1" applyFont="1" applyFill="1" applyBorder="1" applyAlignment="1">
      <alignment horizontal="center" vertical="top" wrapText="1"/>
    </xf>
    <xf numFmtId="3" fontId="3" fillId="6" borderId="1" xfId="0" applyNumberFormat="1" applyFont="1" applyFill="1" applyBorder="1" applyAlignment="1">
      <alignment horizontal="center" vertical="top" wrapText="1"/>
    </xf>
    <xf numFmtId="1" fontId="3" fillId="6" borderId="74" xfId="0" applyNumberFormat="1" applyFont="1" applyFill="1" applyBorder="1" applyAlignment="1">
      <alignment horizontal="center" vertical="top" wrapText="1"/>
    </xf>
    <xf numFmtId="3" fontId="3" fillId="6" borderId="1" xfId="0" applyNumberFormat="1" applyFont="1" applyFill="1" applyBorder="1" applyAlignment="1">
      <alignment horizontal="center" vertical="top"/>
    </xf>
    <xf numFmtId="3" fontId="3" fillId="6" borderId="18" xfId="1" applyNumberFormat="1" applyFont="1" applyFill="1" applyBorder="1" applyAlignment="1">
      <alignment horizontal="center" vertical="top"/>
    </xf>
    <xf numFmtId="0" fontId="3" fillId="6" borderId="87" xfId="1" applyFont="1" applyFill="1" applyBorder="1" applyAlignment="1">
      <alignment vertical="top" wrapText="1"/>
    </xf>
    <xf numFmtId="3" fontId="3" fillId="6" borderId="89" xfId="1" applyNumberFormat="1" applyFont="1" applyFill="1" applyBorder="1" applyAlignment="1">
      <alignment horizontal="center" vertical="top"/>
    </xf>
    <xf numFmtId="0" fontId="3" fillId="6" borderId="72" xfId="0" applyFont="1" applyFill="1" applyBorder="1" applyAlignment="1">
      <alignment horizontal="center" vertical="top" wrapText="1"/>
    </xf>
    <xf numFmtId="0" fontId="3" fillId="6" borderId="81" xfId="0" applyFont="1" applyFill="1" applyBorder="1" applyAlignment="1">
      <alignment vertical="top" wrapText="1"/>
    </xf>
    <xf numFmtId="0" fontId="3" fillId="0" borderId="41" xfId="0" applyFont="1" applyBorder="1" applyAlignment="1">
      <alignment vertical="top"/>
    </xf>
    <xf numFmtId="0" fontId="3" fillId="0" borderId="1" xfId="0" applyFont="1" applyBorder="1" applyAlignment="1">
      <alignment vertical="top"/>
    </xf>
    <xf numFmtId="0" fontId="5" fillId="2" borderId="14" xfId="0" applyFont="1" applyFill="1" applyBorder="1" applyAlignment="1">
      <alignment horizontal="center" vertical="top" wrapText="1"/>
    </xf>
    <xf numFmtId="3" fontId="11" fillId="6" borderId="67" xfId="0" applyNumberFormat="1" applyFont="1" applyFill="1" applyBorder="1" applyAlignment="1">
      <alignment horizontal="center" vertical="top"/>
    </xf>
    <xf numFmtId="165" fontId="11" fillId="6" borderId="67" xfId="0" applyNumberFormat="1" applyFont="1" applyFill="1" applyBorder="1" applyAlignment="1">
      <alignment horizontal="center" vertical="top"/>
    </xf>
    <xf numFmtId="3" fontId="3" fillId="6" borderId="55" xfId="0" applyNumberFormat="1" applyFont="1" applyFill="1" applyBorder="1" applyAlignment="1">
      <alignment vertical="top" wrapText="1"/>
    </xf>
    <xf numFmtId="3" fontId="3" fillId="6" borderId="29" xfId="0" applyNumberFormat="1" applyFont="1" applyFill="1" applyBorder="1" applyAlignment="1">
      <alignment horizontal="center" vertical="top"/>
    </xf>
    <xf numFmtId="49" fontId="5" fillId="6" borderId="43" xfId="0" applyNumberFormat="1" applyFont="1" applyFill="1" applyBorder="1" applyAlignment="1">
      <alignment horizontal="center" vertical="center"/>
    </xf>
    <xf numFmtId="0" fontId="5" fillId="6" borderId="11" xfId="0" applyFont="1" applyFill="1" applyBorder="1" applyAlignment="1">
      <alignment vertical="top" wrapText="1"/>
    </xf>
    <xf numFmtId="49" fontId="5" fillId="6" borderId="47" xfId="0" applyNumberFormat="1" applyFont="1" applyFill="1" applyBorder="1" applyAlignment="1">
      <alignment horizontal="center" vertical="top" wrapText="1"/>
    </xf>
    <xf numFmtId="0" fontId="7" fillId="6" borderId="14" xfId="0" applyFont="1" applyFill="1" applyBorder="1" applyAlignment="1">
      <alignment horizontal="center" vertical="top" wrapText="1"/>
    </xf>
    <xf numFmtId="49" fontId="5" fillId="6" borderId="17"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0" fontId="3" fillId="6" borderId="27" xfId="0" applyFont="1" applyFill="1" applyBorder="1" applyAlignment="1">
      <alignment vertical="top" wrapText="1"/>
    </xf>
    <xf numFmtId="0" fontId="3" fillId="6" borderId="10" xfId="0" applyFont="1" applyFill="1" applyBorder="1" applyAlignment="1">
      <alignment vertical="top" wrapText="1"/>
    </xf>
    <xf numFmtId="0" fontId="5" fillId="6" borderId="63" xfId="0" applyFont="1" applyFill="1" applyBorder="1" applyAlignment="1">
      <alignment horizontal="center" vertical="center" wrapText="1"/>
    </xf>
    <xf numFmtId="0" fontId="3" fillId="3" borderId="60" xfId="0" applyFont="1" applyFill="1" applyBorder="1" applyAlignment="1">
      <alignment horizontal="center" vertical="top" wrapText="1"/>
    </xf>
    <xf numFmtId="49" fontId="5" fillId="0" borderId="16" xfId="0" applyNumberFormat="1" applyFont="1" applyBorder="1" applyAlignment="1">
      <alignment horizontal="center" vertical="top"/>
    </xf>
    <xf numFmtId="0" fontId="5" fillId="3" borderId="60" xfId="0" applyFont="1" applyFill="1" applyBorder="1" applyAlignment="1">
      <alignment horizontal="left" vertical="top" wrapText="1"/>
    </xf>
    <xf numFmtId="49" fontId="5" fillId="3" borderId="24" xfId="0" applyNumberFormat="1" applyFont="1" applyFill="1" applyBorder="1" applyAlignment="1">
      <alignment horizontal="center" vertical="top" wrapText="1"/>
    </xf>
    <xf numFmtId="49" fontId="5" fillId="6" borderId="24" xfId="0" applyNumberFormat="1" applyFont="1" applyFill="1" applyBorder="1" applyAlignment="1">
      <alignment horizontal="center" vertical="top" wrapText="1"/>
    </xf>
    <xf numFmtId="3" fontId="3" fillId="0" borderId="24" xfId="0" applyNumberFormat="1" applyFont="1" applyFill="1" applyBorder="1" applyAlignment="1">
      <alignment horizontal="center" vertical="top"/>
    </xf>
    <xf numFmtId="49" fontId="5" fillId="9" borderId="46" xfId="0" applyNumberFormat="1" applyFont="1" applyFill="1" applyBorder="1" applyAlignment="1">
      <alignment horizontal="center" vertical="top"/>
    </xf>
    <xf numFmtId="49" fontId="5" fillId="6" borderId="43" xfId="0" applyNumberFormat="1" applyFont="1" applyFill="1" applyBorder="1" applyAlignment="1">
      <alignment horizontal="center" vertical="top"/>
    </xf>
    <xf numFmtId="0" fontId="21" fillId="6" borderId="31" xfId="0" applyFont="1" applyFill="1" applyBorder="1" applyAlignment="1">
      <alignment vertical="top" wrapText="1"/>
    </xf>
    <xf numFmtId="49" fontId="3" fillId="6" borderId="90" xfId="0" applyNumberFormat="1" applyFont="1" applyFill="1" applyBorder="1" applyAlignment="1">
      <alignment horizontal="center" vertical="top" wrapText="1"/>
    </xf>
    <xf numFmtId="1" fontId="3" fillId="6" borderId="82" xfId="0" applyNumberFormat="1" applyFont="1" applyFill="1" applyBorder="1" applyAlignment="1">
      <alignment horizontal="center" vertical="top" wrapText="1"/>
    </xf>
    <xf numFmtId="165" fontId="3" fillId="0" borderId="0" xfId="0" applyNumberFormat="1" applyFont="1" applyBorder="1" applyAlignment="1">
      <alignment vertical="top"/>
    </xf>
    <xf numFmtId="49" fontId="3" fillId="6" borderId="76" xfId="0" applyNumberFormat="1" applyFont="1" applyFill="1" applyBorder="1" applyAlignment="1">
      <alignment horizontal="center" vertical="top" wrapText="1"/>
    </xf>
    <xf numFmtId="49" fontId="3" fillId="6" borderId="77" xfId="0" applyNumberFormat="1" applyFont="1" applyFill="1" applyBorder="1" applyAlignment="1">
      <alignment horizontal="center" vertical="top" wrapText="1"/>
    </xf>
    <xf numFmtId="49" fontId="3" fillId="6" borderId="70" xfId="0" applyNumberFormat="1" applyFont="1" applyFill="1" applyBorder="1" applyAlignment="1">
      <alignment horizontal="center" vertical="top" wrapText="1"/>
    </xf>
    <xf numFmtId="0" fontId="2" fillId="6" borderId="14" xfId="0" applyFont="1" applyFill="1" applyBorder="1" applyAlignment="1">
      <alignment horizontal="center" vertical="center" textRotation="90"/>
    </xf>
    <xf numFmtId="0" fontId="2" fillId="6" borderId="24" xfId="0" applyFont="1" applyFill="1" applyBorder="1" applyAlignment="1">
      <alignment horizontal="center" vertical="center" textRotation="90"/>
    </xf>
    <xf numFmtId="3" fontId="3" fillId="6" borderId="90" xfId="1" applyNumberFormat="1" applyFont="1" applyFill="1" applyBorder="1" applyAlignment="1">
      <alignment horizontal="center" vertical="top"/>
    </xf>
    <xf numFmtId="0" fontId="3" fillId="6" borderId="43" xfId="0" applyFont="1" applyFill="1" applyBorder="1" applyAlignment="1">
      <alignment horizontal="center" vertical="center"/>
    </xf>
    <xf numFmtId="0" fontId="3" fillId="6" borderId="25" xfId="0" applyFont="1" applyFill="1" applyBorder="1" applyAlignment="1">
      <alignment horizontal="center" vertical="center"/>
    </xf>
    <xf numFmtId="0" fontId="3" fillId="6" borderId="90" xfId="0" applyFont="1" applyFill="1" applyBorder="1" applyAlignment="1">
      <alignment horizontal="center" vertical="center"/>
    </xf>
    <xf numFmtId="165" fontId="5" fillId="3" borderId="4" xfId="0" applyNumberFormat="1" applyFont="1" applyFill="1" applyBorder="1" applyAlignment="1">
      <alignment horizontal="center" vertical="top"/>
    </xf>
    <xf numFmtId="0" fontId="3" fillId="6" borderId="67" xfId="0" applyFont="1" applyFill="1" applyBorder="1" applyAlignment="1">
      <alignment vertical="top" wrapText="1"/>
    </xf>
    <xf numFmtId="49" fontId="3" fillId="6" borderId="43" xfId="0" applyNumberFormat="1" applyFont="1" applyFill="1" applyBorder="1" applyAlignment="1">
      <alignment horizontal="center" vertical="top" wrapText="1"/>
    </xf>
    <xf numFmtId="3" fontId="3" fillId="6" borderId="25" xfId="0" applyNumberFormat="1" applyFont="1" applyFill="1" applyBorder="1" applyAlignment="1">
      <alignment horizontal="center" vertical="top"/>
    </xf>
    <xf numFmtId="49" fontId="3" fillId="6" borderId="46" xfId="0" applyNumberFormat="1" applyFont="1" applyFill="1" applyBorder="1" applyAlignment="1">
      <alignment horizontal="center" vertical="top" wrapText="1"/>
    </xf>
    <xf numFmtId="3" fontId="3" fillId="6" borderId="16" xfId="0" applyNumberFormat="1" applyFont="1" applyFill="1" applyBorder="1" applyAlignment="1">
      <alignment horizontal="center" vertical="top"/>
    </xf>
    <xf numFmtId="3" fontId="11" fillId="6" borderId="55" xfId="0" applyNumberFormat="1" applyFont="1" applyFill="1" applyBorder="1" applyAlignment="1">
      <alignment horizontal="center" vertical="top"/>
    </xf>
    <xf numFmtId="165" fontId="11" fillId="6" borderId="24" xfId="0" applyNumberFormat="1" applyFont="1" applyFill="1" applyBorder="1" applyAlignment="1">
      <alignment horizontal="center" vertical="top"/>
    </xf>
    <xf numFmtId="165" fontId="3" fillId="6" borderId="8" xfId="0" applyNumberFormat="1" applyFont="1" applyFill="1" applyBorder="1" applyAlignment="1">
      <alignment horizontal="center" vertical="top"/>
    </xf>
    <xf numFmtId="0" fontId="5" fillId="6" borderId="35" xfId="0" applyFont="1" applyFill="1" applyBorder="1" applyAlignment="1">
      <alignment horizontal="center" vertical="center" wrapText="1"/>
    </xf>
    <xf numFmtId="165" fontId="3" fillId="6" borderId="0" xfId="0" applyNumberFormat="1" applyFont="1" applyFill="1" applyBorder="1" applyAlignment="1">
      <alignment horizontal="center" vertical="top" wrapText="1"/>
    </xf>
    <xf numFmtId="49" fontId="3" fillId="0" borderId="0" xfId="0" applyNumberFormat="1" applyFont="1" applyAlignment="1">
      <alignment vertical="top"/>
    </xf>
    <xf numFmtId="49" fontId="3" fillId="0" borderId="0" xfId="0" applyNumberFormat="1" applyFont="1" applyAlignment="1">
      <alignment horizontal="center" vertical="top"/>
    </xf>
    <xf numFmtId="3" fontId="3" fillId="0" borderId="0" xfId="0" applyNumberFormat="1" applyFont="1" applyAlignment="1">
      <alignment horizontal="center" vertical="center" wrapText="1"/>
    </xf>
    <xf numFmtId="0" fontId="3" fillId="3" borderId="59" xfId="0" applyFont="1" applyFill="1" applyBorder="1" applyAlignment="1">
      <alignment horizontal="center" vertical="top" wrapText="1"/>
    </xf>
    <xf numFmtId="49" fontId="5" fillId="3" borderId="14" xfId="0" applyNumberFormat="1" applyFont="1" applyFill="1" applyBorder="1" applyAlignment="1">
      <alignment horizontal="center" vertical="top" wrapText="1"/>
    </xf>
    <xf numFmtId="49" fontId="5" fillId="3" borderId="22" xfId="0" applyNumberFormat="1" applyFont="1" applyFill="1" applyBorder="1" applyAlignment="1">
      <alignment horizontal="center" vertical="top"/>
    </xf>
    <xf numFmtId="0" fontId="5" fillId="3" borderId="59" xfId="0" applyFont="1" applyFill="1" applyBorder="1" applyAlignment="1">
      <alignment horizontal="left" vertical="top" wrapText="1"/>
    </xf>
    <xf numFmtId="0" fontId="3" fillId="2" borderId="9" xfId="0" applyFont="1" applyFill="1" applyBorder="1" applyAlignment="1">
      <alignment horizontal="left" vertical="top" wrapText="1"/>
    </xf>
    <xf numFmtId="0" fontId="5" fillId="2" borderId="16" xfId="0" applyFont="1" applyFill="1" applyBorder="1" applyAlignment="1">
      <alignment horizontal="center" vertical="top" wrapText="1"/>
    </xf>
    <xf numFmtId="49" fontId="5" fillId="10" borderId="9" xfId="0" applyNumberFormat="1" applyFont="1" applyFill="1" applyBorder="1" applyAlignment="1">
      <alignment horizontal="center" vertical="top" wrapText="1"/>
    </xf>
    <xf numFmtId="0" fontId="3" fillId="0" borderId="0" xfId="0" applyFont="1" applyAlignment="1">
      <alignment horizontal="left" vertical="top" wrapText="1"/>
    </xf>
    <xf numFmtId="0" fontId="3" fillId="0" borderId="0" xfId="0" applyNumberFormat="1" applyFont="1" applyAlignment="1">
      <alignment vertical="top"/>
    </xf>
    <xf numFmtId="165" fontId="3" fillId="8" borderId="20" xfId="0" applyNumberFormat="1" applyFont="1" applyFill="1" applyBorder="1" applyAlignment="1">
      <alignment horizontal="center" vertical="top"/>
    </xf>
    <xf numFmtId="165" fontId="3" fillId="6" borderId="24" xfId="0" applyNumberFormat="1" applyFont="1" applyFill="1" applyBorder="1" applyAlignment="1">
      <alignment vertical="top"/>
    </xf>
    <xf numFmtId="165" fontId="3" fillId="6" borderId="25" xfId="0" applyNumberFormat="1" applyFont="1" applyFill="1" applyBorder="1" applyAlignment="1">
      <alignment vertical="top"/>
    </xf>
    <xf numFmtId="165" fontId="3" fillId="6" borderId="16" xfId="0" applyNumberFormat="1" applyFont="1" applyFill="1" applyBorder="1" applyAlignment="1">
      <alignment vertical="top"/>
    </xf>
    <xf numFmtId="0" fontId="5" fillId="2" borderId="30" xfId="0" applyFont="1" applyFill="1" applyBorder="1" applyAlignment="1">
      <alignment horizontal="center" vertical="top" wrapText="1"/>
    </xf>
    <xf numFmtId="0" fontId="3" fillId="6" borderId="74" xfId="0" applyFont="1" applyFill="1" applyBorder="1" applyAlignment="1">
      <alignment vertical="top" wrapText="1"/>
    </xf>
    <xf numFmtId="0" fontId="3" fillId="6" borderId="2" xfId="0" applyFont="1" applyFill="1" applyBorder="1" applyAlignment="1">
      <alignment vertical="top" wrapText="1"/>
    </xf>
    <xf numFmtId="0" fontId="3" fillId="6" borderId="20" xfId="0" applyFont="1" applyFill="1" applyBorder="1" applyAlignment="1">
      <alignment horizontal="center" vertical="top" wrapText="1"/>
    </xf>
    <xf numFmtId="165" fontId="3" fillId="6" borderId="14" xfId="0" applyNumberFormat="1" applyFont="1" applyFill="1" applyBorder="1" applyAlignment="1">
      <alignment horizontal="center" vertical="top" wrapText="1"/>
    </xf>
    <xf numFmtId="0" fontId="3" fillId="6" borderId="27" xfId="1" applyFont="1" applyFill="1" applyBorder="1" applyAlignment="1">
      <alignment vertical="top" wrapText="1"/>
    </xf>
    <xf numFmtId="165" fontId="3" fillId="2" borderId="103" xfId="0" applyNumberFormat="1" applyFont="1" applyFill="1" applyBorder="1" applyAlignment="1">
      <alignment horizontal="center" vertical="top"/>
    </xf>
    <xf numFmtId="0" fontId="3" fillId="6" borderId="0"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xf>
    <xf numFmtId="0" fontId="3" fillId="6" borderId="29" xfId="0" applyNumberFormat="1" applyFont="1" applyFill="1" applyBorder="1" applyAlignment="1">
      <alignment horizontal="center" vertical="top"/>
    </xf>
    <xf numFmtId="49" fontId="5" fillId="6" borderId="23" xfId="0" applyNumberFormat="1" applyFont="1" applyFill="1" applyBorder="1" applyAlignment="1">
      <alignment horizontal="center" vertical="top" wrapText="1"/>
    </xf>
    <xf numFmtId="0" fontId="21" fillId="2" borderId="9" xfId="0" applyFont="1" applyFill="1" applyBorder="1" applyAlignment="1">
      <alignment horizontal="left" vertical="top" wrapText="1"/>
    </xf>
    <xf numFmtId="49" fontId="3" fillId="6" borderId="93" xfId="0" applyNumberFormat="1" applyFont="1" applyFill="1" applyBorder="1" applyAlignment="1">
      <alignment horizontal="center" vertical="top" wrapText="1"/>
    </xf>
    <xf numFmtId="3" fontId="3" fillId="6" borderId="74" xfId="1" applyNumberFormat="1" applyFont="1" applyFill="1" applyBorder="1" applyAlignment="1">
      <alignment horizontal="center" vertical="top"/>
    </xf>
    <xf numFmtId="3" fontId="5" fillId="6" borderId="46" xfId="0" applyNumberFormat="1" applyFont="1" applyFill="1" applyBorder="1" applyAlignment="1">
      <alignment horizontal="center" vertical="top" wrapText="1"/>
    </xf>
    <xf numFmtId="0" fontId="3" fillId="6" borderId="79" xfId="0" applyFont="1" applyFill="1" applyBorder="1" applyAlignment="1">
      <alignment horizontal="center" vertical="center"/>
    </xf>
    <xf numFmtId="0" fontId="3" fillId="6" borderId="9" xfId="0" applyFont="1" applyFill="1" applyBorder="1" applyAlignment="1">
      <alignment vertical="top"/>
    </xf>
    <xf numFmtId="0" fontId="3" fillId="6" borderId="89" xfId="0" applyFont="1" applyFill="1" applyBorder="1" applyAlignment="1">
      <alignment vertical="top" wrapText="1"/>
    </xf>
    <xf numFmtId="0" fontId="3" fillId="6" borderId="16" xfId="0" applyFont="1" applyFill="1" applyBorder="1" applyAlignment="1">
      <alignment vertical="top"/>
    </xf>
    <xf numFmtId="165" fontId="5" fillId="0" borderId="0" xfId="0" applyNumberFormat="1" applyFont="1" applyAlignment="1">
      <alignment horizontal="left" vertical="top"/>
    </xf>
    <xf numFmtId="165" fontId="5" fillId="10" borderId="21" xfId="0" applyNumberFormat="1" applyFont="1" applyFill="1" applyBorder="1" applyAlignment="1">
      <alignment horizontal="center" vertical="top"/>
    </xf>
    <xf numFmtId="165" fontId="5" fillId="4" borderId="21" xfId="0" applyNumberFormat="1" applyFont="1" applyFill="1" applyBorder="1" applyAlignment="1">
      <alignment horizontal="center" vertical="top"/>
    </xf>
    <xf numFmtId="49" fontId="5" fillId="8" borderId="55" xfId="0" applyNumberFormat="1" applyFont="1" applyFill="1" applyBorder="1" applyAlignment="1">
      <alignment horizontal="center" vertical="top" wrapText="1"/>
    </xf>
    <xf numFmtId="0" fontId="3" fillId="8" borderId="36" xfId="0" applyFont="1" applyFill="1" applyBorder="1" applyAlignment="1">
      <alignment horizontal="left" vertical="top" wrapText="1"/>
    </xf>
    <xf numFmtId="49" fontId="3" fillId="8" borderId="26" xfId="0" applyNumberFormat="1" applyFont="1" applyFill="1" applyBorder="1" applyAlignment="1">
      <alignment horizontal="center" vertical="top" wrapText="1"/>
    </xf>
    <xf numFmtId="49" fontId="5" fillId="8" borderId="104" xfId="0" applyNumberFormat="1" applyFont="1" applyFill="1" applyBorder="1" applyAlignment="1">
      <alignment horizontal="center" vertical="top" wrapText="1"/>
    </xf>
    <xf numFmtId="0" fontId="3" fillId="8" borderId="104" xfId="0" applyFont="1" applyFill="1" applyBorder="1" applyAlignment="1">
      <alignment vertical="top" wrapText="1"/>
    </xf>
    <xf numFmtId="49" fontId="5" fillId="8" borderId="46" xfId="0" applyNumberFormat="1" applyFont="1" applyFill="1" applyBorder="1" applyAlignment="1">
      <alignment horizontal="center" vertical="top"/>
    </xf>
    <xf numFmtId="49" fontId="5" fillId="8" borderId="0" xfId="0" applyNumberFormat="1" applyFont="1" applyFill="1" applyBorder="1" applyAlignment="1">
      <alignment horizontal="center" vertical="top"/>
    </xf>
    <xf numFmtId="3" fontId="3" fillId="8" borderId="104" xfId="0" applyNumberFormat="1" applyFont="1" applyFill="1" applyBorder="1" applyAlignment="1">
      <alignment horizontal="center" vertical="top"/>
    </xf>
    <xf numFmtId="49" fontId="5" fillId="8" borderId="24" xfId="0" applyNumberFormat="1" applyFont="1" applyFill="1" applyBorder="1" applyAlignment="1">
      <alignment horizontal="center" vertical="top" wrapText="1"/>
    </xf>
    <xf numFmtId="0" fontId="5" fillId="8" borderId="26" xfId="0" applyFont="1" applyFill="1" applyBorder="1" applyAlignment="1">
      <alignment horizontal="center" vertical="top" wrapText="1"/>
    </xf>
    <xf numFmtId="0" fontId="3" fillId="8" borderId="26" xfId="0" applyFont="1" applyFill="1" applyBorder="1" applyAlignment="1">
      <alignment vertical="top" wrapText="1"/>
    </xf>
    <xf numFmtId="0" fontId="7" fillId="6" borderId="30" xfId="0" applyFont="1" applyFill="1" applyBorder="1" applyAlignment="1">
      <alignment vertical="top" wrapText="1"/>
    </xf>
    <xf numFmtId="49" fontId="5" fillId="8" borderId="43" xfId="0" applyNumberFormat="1" applyFont="1" applyFill="1" applyBorder="1" applyAlignment="1">
      <alignment horizontal="center" vertical="top"/>
    </xf>
    <xf numFmtId="3" fontId="3" fillId="8" borderId="26" xfId="0" applyNumberFormat="1" applyFont="1" applyFill="1" applyBorder="1" applyAlignment="1">
      <alignment horizontal="center" vertical="top"/>
    </xf>
    <xf numFmtId="0" fontId="3" fillId="0" borderId="66" xfId="0" applyFont="1" applyFill="1" applyBorder="1" applyAlignment="1">
      <alignment vertical="top" wrapText="1"/>
    </xf>
    <xf numFmtId="3" fontId="3" fillId="6" borderId="33" xfId="0" applyNumberFormat="1" applyFont="1" applyFill="1" applyBorder="1" applyAlignment="1">
      <alignment horizontal="center" vertical="top" wrapText="1"/>
    </xf>
    <xf numFmtId="3" fontId="3" fillId="6" borderId="15" xfId="0" applyNumberFormat="1" applyFont="1" applyFill="1" applyBorder="1" applyAlignment="1">
      <alignment horizontal="center" vertical="top" wrapText="1"/>
    </xf>
    <xf numFmtId="49" fontId="3" fillId="6" borderId="100" xfId="0" applyNumberFormat="1" applyFont="1" applyFill="1" applyBorder="1" applyAlignment="1">
      <alignment horizontal="center" vertical="top" wrapText="1"/>
    </xf>
    <xf numFmtId="49" fontId="3" fillId="6" borderId="91" xfId="0" applyNumberFormat="1" applyFont="1" applyFill="1" applyBorder="1" applyAlignment="1">
      <alignment horizontal="center" vertical="top" wrapText="1"/>
    </xf>
    <xf numFmtId="49" fontId="3" fillId="6" borderId="16" xfId="0" applyNumberFormat="1" applyFont="1" applyFill="1" applyBorder="1" applyAlignment="1">
      <alignment horizontal="center" vertical="top" wrapText="1"/>
    </xf>
    <xf numFmtId="0" fontId="25" fillId="6" borderId="86" xfId="0" applyFont="1" applyFill="1" applyBorder="1" applyAlignment="1">
      <alignment vertical="top" wrapText="1"/>
    </xf>
    <xf numFmtId="1" fontId="3" fillId="6" borderId="0" xfId="0" applyNumberFormat="1" applyFont="1" applyFill="1" applyBorder="1" applyAlignment="1">
      <alignment horizontal="center" vertical="top" wrapText="1"/>
    </xf>
    <xf numFmtId="1" fontId="3" fillId="6" borderId="16" xfId="0" applyNumberFormat="1" applyFont="1" applyFill="1" applyBorder="1" applyAlignment="1">
      <alignment horizontal="center" vertical="top" wrapText="1"/>
    </xf>
    <xf numFmtId="165" fontId="3" fillId="0" borderId="0" xfId="0" applyNumberFormat="1" applyFont="1" applyFill="1" applyBorder="1" applyAlignment="1">
      <alignment horizontal="center" vertical="top"/>
    </xf>
    <xf numFmtId="3" fontId="3" fillId="6" borderId="76" xfId="1" applyNumberFormat="1" applyFont="1" applyFill="1" applyBorder="1" applyAlignment="1">
      <alignment horizontal="center" vertical="top"/>
    </xf>
    <xf numFmtId="49" fontId="15" fillId="10" borderId="31" xfId="0" applyNumberFormat="1" applyFont="1" applyFill="1" applyBorder="1" applyAlignment="1">
      <alignment horizontal="center" vertical="top"/>
    </xf>
    <xf numFmtId="49" fontId="15" fillId="9" borderId="22" xfId="0" applyNumberFormat="1" applyFont="1" applyFill="1" applyBorder="1" applyAlignment="1">
      <alignment horizontal="center" vertical="top"/>
    </xf>
    <xf numFmtId="3" fontId="3" fillId="6" borderId="22" xfId="0" applyNumberFormat="1" applyFont="1" applyFill="1" applyBorder="1" applyAlignment="1">
      <alignment horizontal="left" vertical="top" wrapText="1"/>
    </xf>
    <xf numFmtId="3" fontId="5" fillId="6" borderId="26" xfId="0" applyNumberFormat="1" applyFont="1" applyFill="1" applyBorder="1" applyAlignment="1">
      <alignment horizontal="center" vertical="top" wrapText="1"/>
    </xf>
    <xf numFmtId="49" fontId="15" fillId="6" borderId="26" xfId="0" applyNumberFormat="1" applyFont="1" applyFill="1" applyBorder="1" applyAlignment="1">
      <alignment horizontal="center" vertical="top"/>
    </xf>
    <xf numFmtId="165" fontId="3" fillId="6" borderId="18" xfId="1" applyNumberFormat="1" applyFont="1" applyFill="1" applyBorder="1" applyAlignment="1">
      <alignment horizontal="center" vertical="top" wrapText="1"/>
    </xf>
    <xf numFmtId="1" fontId="3" fillId="6" borderId="14" xfId="1" applyNumberFormat="1" applyFont="1" applyFill="1" applyBorder="1" applyAlignment="1">
      <alignment horizontal="center" vertical="top" wrapText="1"/>
    </xf>
    <xf numFmtId="3" fontId="3" fillId="6" borderId="14" xfId="1" applyNumberFormat="1" applyFont="1" applyFill="1" applyBorder="1" applyAlignment="1">
      <alignment horizontal="center" vertical="top" wrapText="1"/>
    </xf>
    <xf numFmtId="0" fontId="3" fillId="6" borderId="41" xfId="1" applyFont="1" applyFill="1" applyBorder="1" applyAlignment="1">
      <alignment horizontal="left" vertical="top" wrapText="1"/>
    </xf>
    <xf numFmtId="3" fontId="3" fillId="6" borderId="89" xfId="1" applyNumberFormat="1" applyFont="1" applyFill="1" applyBorder="1" applyAlignment="1">
      <alignment horizontal="center" vertical="top" wrapText="1"/>
    </xf>
    <xf numFmtId="165" fontId="3" fillId="6" borderId="44" xfId="0" applyNumberFormat="1" applyFont="1" applyFill="1" applyBorder="1" applyAlignment="1">
      <alignment horizontal="center" vertical="top" wrapText="1"/>
    </xf>
    <xf numFmtId="165" fontId="3" fillId="6" borderId="1" xfId="0" applyNumberFormat="1" applyFont="1" applyFill="1" applyBorder="1" applyAlignment="1">
      <alignment horizontal="center" vertical="top" wrapText="1"/>
    </xf>
    <xf numFmtId="165" fontId="3" fillId="6" borderId="93" xfId="0" applyNumberFormat="1" applyFont="1" applyFill="1" applyBorder="1" applyAlignment="1">
      <alignment horizontal="center" vertical="top" wrapText="1"/>
    </xf>
    <xf numFmtId="0" fontId="21" fillId="6" borderId="27" xfId="0" applyFont="1" applyFill="1" applyBorder="1" applyAlignment="1">
      <alignment vertical="top" wrapText="1"/>
    </xf>
    <xf numFmtId="0" fontId="3" fillId="6" borderId="84" xfId="0" applyFont="1" applyFill="1" applyBorder="1" applyAlignment="1">
      <alignment vertical="top" wrapText="1"/>
    </xf>
    <xf numFmtId="165" fontId="3" fillId="0" borderId="9" xfId="0" applyNumberFormat="1" applyFont="1" applyFill="1" applyBorder="1" applyAlignment="1">
      <alignment horizontal="center" vertical="top"/>
    </xf>
    <xf numFmtId="3" fontId="3" fillId="6" borderId="99" xfId="0" applyNumberFormat="1" applyFont="1" applyFill="1" applyBorder="1" applyAlignment="1">
      <alignment horizontal="center" vertical="top"/>
    </xf>
    <xf numFmtId="3" fontId="3" fillId="6" borderId="79" xfId="0" applyNumberFormat="1" applyFont="1" applyFill="1" applyBorder="1" applyAlignment="1">
      <alignment horizontal="center" vertical="top"/>
    </xf>
    <xf numFmtId="0" fontId="3" fillId="6" borderId="92" xfId="0" applyFont="1" applyFill="1" applyBorder="1" applyAlignment="1">
      <alignment horizontal="center" vertical="top" wrapText="1"/>
    </xf>
    <xf numFmtId="0" fontId="3" fillId="12" borderId="18" xfId="0" applyFont="1" applyFill="1" applyBorder="1" applyAlignment="1">
      <alignment horizontal="center" vertical="top"/>
    </xf>
    <xf numFmtId="0" fontId="3" fillId="12" borderId="14" xfId="0" applyFont="1" applyFill="1" applyBorder="1" applyAlignment="1">
      <alignment horizontal="center" vertical="top"/>
    </xf>
    <xf numFmtId="0" fontId="3" fillId="12" borderId="30" xfId="0" applyFont="1" applyFill="1" applyBorder="1" applyAlignment="1">
      <alignment horizontal="center" vertical="top" wrapText="1"/>
    </xf>
    <xf numFmtId="0" fontId="3" fillId="6" borderId="73" xfId="1" applyFont="1" applyFill="1" applyBorder="1" applyAlignment="1">
      <alignment horizontal="left" vertical="top" wrapText="1"/>
    </xf>
    <xf numFmtId="1" fontId="3" fillId="6" borderId="74" xfId="1" applyNumberFormat="1" applyFont="1" applyFill="1" applyBorder="1" applyAlignment="1">
      <alignment horizontal="center" vertical="top" wrapText="1"/>
    </xf>
    <xf numFmtId="3" fontId="3" fillId="6" borderId="74" xfId="1" applyNumberFormat="1" applyFont="1" applyFill="1" applyBorder="1" applyAlignment="1">
      <alignment horizontal="center" vertical="top" wrapText="1"/>
    </xf>
    <xf numFmtId="3" fontId="5" fillId="10" borderId="9" xfId="0" applyNumberFormat="1" applyFont="1" applyFill="1" applyBorder="1" applyAlignment="1">
      <alignment vertical="top"/>
    </xf>
    <xf numFmtId="3" fontId="5" fillId="3" borderId="14" xfId="0" applyNumberFormat="1" applyFont="1" applyFill="1" applyBorder="1" applyAlignment="1">
      <alignment vertical="top"/>
    </xf>
    <xf numFmtId="49" fontId="5" fillId="6" borderId="14" xfId="0" applyNumberFormat="1" applyFont="1" applyFill="1" applyBorder="1" applyAlignment="1">
      <alignment horizontal="center" vertical="center"/>
    </xf>
    <xf numFmtId="165" fontId="5" fillId="8" borderId="26" xfId="0" applyNumberFormat="1" applyFont="1" applyFill="1" applyBorder="1" applyAlignment="1">
      <alignment horizontal="center" vertical="top"/>
    </xf>
    <xf numFmtId="165" fontId="5" fillId="3" borderId="60" xfId="0" applyNumberFormat="1" applyFont="1" applyFill="1" applyBorder="1" applyAlignment="1">
      <alignment horizontal="center" vertical="top"/>
    </xf>
    <xf numFmtId="165" fontId="5" fillId="3" borderId="52" xfId="0" applyNumberFormat="1" applyFont="1" applyFill="1" applyBorder="1" applyAlignment="1">
      <alignment horizontal="center" vertical="top"/>
    </xf>
    <xf numFmtId="0" fontId="3" fillId="6" borderId="95" xfId="0" applyFont="1" applyFill="1" applyBorder="1" applyAlignment="1">
      <alignment horizontal="center" vertical="center"/>
    </xf>
    <xf numFmtId="0" fontId="3" fillId="6" borderId="91" xfId="0" applyFont="1" applyFill="1" applyBorder="1" applyAlignment="1">
      <alignment horizontal="center" vertical="center"/>
    </xf>
    <xf numFmtId="49" fontId="5" fillId="2" borderId="30" xfId="0" applyNumberFormat="1" applyFont="1" applyFill="1" applyBorder="1" applyAlignment="1">
      <alignment horizontal="center" vertical="top" wrapText="1"/>
    </xf>
    <xf numFmtId="0" fontId="5" fillId="2" borderId="30" xfId="0" applyFont="1" applyFill="1" applyBorder="1" applyAlignment="1">
      <alignment horizontal="left" vertical="top" wrapText="1"/>
    </xf>
    <xf numFmtId="0" fontId="3" fillId="0" borderId="20" xfId="0" applyFont="1" applyBorder="1" applyAlignment="1">
      <alignment horizontal="center" vertical="top" wrapText="1"/>
    </xf>
    <xf numFmtId="3" fontId="3" fillId="2" borderId="27" xfId="0" applyNumberFormat="1" applyFont="1" applyFill="1" applyBorder="1" applyAlignment="1">
      <alignment horizontal="right" vertical="top"/>
    </xf>
    <xf numFmtId="3" fontId="3" fillId="2" borderId="61" xfId="0" applyNumberFormat="1" applyFont="1" applyFill="1" applyBorder="1" applyAlignment="1">
      <alignment horizontal="right" vertical="top"/>
    </xf>
    <xf numFmtId="165" fontId="3" fillId="6" borderId="30" xfId="0" applyNumberFormat="1" applyFont="1" applyFill="1" applyBorder="1" applyAlignment="1">
      <alignment vertical="top"/>
    </xf>
    <xf numFmtId="3" fontId="3" fillId="6" borderId="30" xfId="1" applyNumberFormat="1" applyFont="1" applyFill="1" applyBorder="1" applyAlignment="1">
      <alignment horizontal="center" vertical="top" wrapText="1"/>
    </xf>
    <xf numFmtId="1" fontId="3" fillId="6" borderId="46" xfId="0" applyNumberFormat="1" applyFont="1" applyFill="1" applyBorder="1" applyAlignment="1">
      <alignment horizontal="center" vertical="top" wrapText="1"/>
    </xf>
    <xf numFmtId="3" fontId="3" fillId="6" borderId="100" xfId="0" applyNumberFormat="1" applyFont="1" applyFill="1" applyBorder="1" applyAlignment="1">
      <alignment horizontal="center" vertical="top"/>
    </xf>
    <xf numFmtId="3" fontId="3" fillId="6" borderId="91" xfId="0" applyNumberFormat="1" applyFont="1" applyFill="1" applyBorder="1" applyAlignment="1">
      <alignment horizontal="center" vertical="top"/>
    </xf>
    <xf numFmtId="3" fontId="3" fillId="6" borderId="0" xfId="0" applyNumberFormat="1" applyFont="1" applyFill="1" applyBorder="1" applyAlignment="1">
      <alignment horizontal="center" vertical="top"/>
    </xf>
    <xf numFmtId="0" fontId="3" fillId="6" borderId="49" xfId="0" applyFont="1" applyFill="1" applyBorder="1" applyAlignment="1">
      <alignment horizontal="center" vertical="top"/>
    </xf>
    <xf numFmtId="49" fontId="5" fillId="6" borderId="46" xfId="0" applyNumberFormat="1" applyFont="1" applyFill="1" applyBorder="1" applyAlignment="1">
      <alignment horizontal="center" vertical="top" wrapText="1"/>
    </xf>
    <xf numFmtId="0" fontId="3" fillId="6" borderId="73" xfId="1" applyFont="1" applyFill="1" applyBorder="1" applyAlignment="1">
      <alignment vertical="top" wrapText="1"/>
    </xf>
    <xf numFmtId="1" fontId="3" fillId="6" borderId="102" xfId="0" applyNumberFormat="1" applyFont="1" applyFill="1" applyBorder="1" applyAlignment="1">
      <alignment horizontal="center" vertical="top" wrapText="1"/>
    </xf>
    <xf numFmtId="1" fontId="3" fillId="6" borderId="83" xfId="0" applyNumberFormat="1" applyFont="1" applyFill="1" applyBorder="1" applyAlignment="1">
      <alignment horizontal="center" vertical="top" wrapText="1"/>
    </xf>
    <xf numFmtId="4" fontId="3" fillId="2" borderId="0" xfId="0" applyNumberFormat="1" applyFont="1" applyFill="1" applyBorder="1" applyAlignment="1">
      <alignment horizontal="center" vertical="top"/>
    </xf>
    <xf numFmtId="49" fontId="3" fillId="0" borderId="0" xfId="0" applyNumberFormat="1" applyFont="1" applyFill="1" applyAlignment="1">
      <alignment vertical="top"/>
    </xf>
    <xf numFmtId="0" fontId="0" fillId="0" borderId="0" xfId="0" applyFill="1" applyAlignment="1">
      <alignment horizontal="left" vertical="top" wrapText="1"/>
    </xf>
    <xf numFmtId="3" fontId="3" fillId="6" borderId="82" xfId="1" applyNumberFormat="1" applyFont="1" applyFill="1" applyBorder="1" applyAlignment="1">
      <alignment horizontal="center" vertical="top"/>
    </xf>
    <xf numFmtId="0" fontId="19" fillId="6" borderId="14" xfId="0" applyFont="1" applyFill="1" applyBorder="1" applyAlignment="1">
      <alignment horizontal="left" vertical="top" wrapText="1"/>
    </xf>
    <xf numFmtId="0" fontId="3" fillId="6" borderId="36" xfId="1" applyFont="1" applyFill="1" applyBorder="1" applyAlignment="1">
      <alignment vertical="top" wrapText="1"/>
    </xf>
    <xf numFmtId="0" fontId="3" fillId="12" borderId="14" xfId="0" applyFont="1" applyFill="1" applyBorder="1" applyAlignment="1">
      <alignment horizontal="center" vertical="top" wrapText="1"/>
    </xf>
    <xf numFmtId="0" fontId="3" fillId="0" borderId="14" xfId="0" applyFont="1" applyBorder="1" applyAlignment="1">
      <alignment vertical="top"/>
    </xf>
    <xf numFmtId="165" fontId="3" fillId="6" borderId="45" xfId="0" applyNumberFormat="1" applyFont="1" applyFill="1" applyBorder="1" applyAlignment="1">
      <alignment vertical="top"/>
    </xf>
    <xf numFmtId="3" fontId="5" fillId="6" borderId="14" xfId="0" applyNumberFormat="1" applyFont="1" applyFill="1" applyBorder="1" applyAlignment="1">
      <alignment vertical="top"/>
    </xf>
    <xf numFmtId="0" fontId="3" fillId="6" borderId="13" xfId="0" applyFont="1" applyFill="1" applyBorder="1" applyAlignment="1">
      <alignment horizontal="left" vertical="top" wrapText="1"/>
    </xf>
    <xf numFmtId="3" fontId="11" fillId="6" borderId="61" xfId="0" applyNumberFormat="1" applyFont="1" applyFill="1" applyBorder="1" applyAlignment="1">
      <alignment horizontal="center" vertical="top"/>
    </xf>
    <xf numFmtId="165" fontId="11" fillId="6" borderId="20" xfId="0" applyNumberFormat="1" applyFont="1" applyFill="1" applyBorder="1" applyAlignment="1">
      <alignment horizontal="center" vertical="top"/>
    </xf>
    <xf numFmtId="4" fontId="3" fillId="2" borderId="16" xfId="0" applyNumberFormat="1" applyFont="1" applyFill="1" applyBorder="1" applyAlignment="1">
      <alignment horizontal="center" vertical="top"/>
    </xf>
    <xf numFmtId="165" fontId="3" fillId="2" borderId="70" xfId="0" applyNumberFormat="1" applyFont="1" applyFill="1" applyBorder="1" applyAlignment="1">
      <alignment horizontal="center" vertical="top"/>
    </xf>
    <xf numFmtId="3" fontId="3" fillId="6" borderId="55" xfId="0" applyNumberFormat="1" applyFont="1" applyFill="1" applyBorder="1" applyAlignment="1">
      <alignment horizontal="center" vertical="top" wrapText="1"/>
    </xf>
    <xf numFmtId="3" fontId="3" fillId="6" borderId="23" xfId="0" applyNumberFormat="1" applyFont="1" applyFill="1" applyBorder="1" applyAlignment="1">
      <alignment horizontal="center" vertical="top" wrapText="1"/>
    </xf>
    <xf numFmtId="165" fontId="5" fillId="4" borderId="6" xfId="0" applyNumberFormat="1" applyFont="1" applyFill="1" applyBorder="1" applyAlignment="1">
      <alignment horizontal="center" vertical="top"/>
    </xf>
    <xf numFmtId="0" fontId="3" fillId="8" borderId="31" xfId="0" applyFont="1" applyFill="1" applyBorder="1" applyAlignment="1">
      <alignment horizontal="left" vertical="top" wrapText="1"/>
    </xf>
    <xf numFmtId="165" fontId="5" fillId="5" borderId="58" xfId="0" applyNumberFormat="1" applyFont="1" applyFill="1" applyBorder="1" applyAlignment="1">
      <alignment horizontal="center" vertical="top"/>
    </xf>
    <xf numFmtId="165" fontId="3" fillId="0" borderId="61" xfId="0" applyNumberFormat="1" applyFont="1" applyBorder="1" applyAlignment="1">
      <alignment horizontal="center" vertical="top"/>
    </xf>
    <xf numFmtId="49" fontId="5" fillId="6" borderId="49" xfId="0" applyNumberFormat="1" applyFont="1" applyFill="1" applyBorder="1" applyAlignment="1">
      <alignment horizontal="center" vertical="top"/>
    </xf>
    <xf numFmtId="0" fontId="3" fillId="6" borderId="46" xfId="0" applyFont="1" applyFill="1" applyBorder="1" applyAlignment="1">
      <alignment horizontal="center" vertical="top"/>
    </xf>
    <xf numFmtId="0" fontId="3" fillId="6" borderId="28" xfId="0" applyFont="1" applyFill="1" applyBorder="1" applyAlignment="1">
      <alignment horizontal="center" vertical="top"/>
    </xf>
    <xf numFmtId="0" fontId="3" fillId="6" borderId="61" xfId="0" applyFont="1" applyFill="1" applyBorder="1" applyAlignment="1">
      <alignment horizontal="center" vertical="top" wrapText="1"/>
    </xf>
    <xf numFmtId="0" fontId="3" fillId="6" borderId="36" xfId="0" applyFont="1" applyFill="1" applyBorder="1" applyAlignment="1">
      <alignment horizontal="center" vertical="top" wrapText="1"/>
    </xf>
    <xf numFmtId="0" fontId="3" fillId="6" borderId="67" xfId="0" applyFont="1" applyFill="1" applyBorder="1" applyAlignment="1">
      <alignment horizontal="center" vertical="top" wrapText="1"/>
    </xf>
    <xf numFmtId="165" fontId="5" fillId="8" borderId="32" xfId="0" applyNumberFormat="1" applyFont="1" applyFill="1" applyBorder="1" applyAlignment="1">
      <alignment horizontal="center" vertical="top"/>
    </xf>
    <xf numFmtId="165" fontId="5" fillId="8" borderId="22" xfId="0" applyNumberFormat="1" applyFont="1" applyFill="1" applyBorder="1" applyAlignment="1">
      <alignment horizontal="center" vertical="top"/>
    </xf>
    <xf numFmtId="0" fontId="3" fillId="6" borderId="94" xfId="0" applyFont="1" applyFill="1" applyBorder="1" applyAlignment="1">
      <alignment horizontal="center" vertical="top" wrapText="1"/>
    </xf>
    <xf numFmtId="0" fontId="3" fillId="6" borderId="0" xfId="0" applyFont="1" applyFill="1" applyBorder="1" applyAlignment="1">
      <alignment vertical="top"/>
    </xf>
    <xf numFmtId="165" fontId="16" fillId="6" borderId="61" xfId="0" applyNumberFormat="1" applyFont="1" applyFill="1" applyBorder="1" applyAlignment="1">
      <alignment horizontal="center" vertical="top"/>
    </xf>
    <xf numFmtId="0" fontId="3" fillId="6" borderId="86" xfId="0" applyFont="1" applyFill="1" applyBorder="1" applyAlignment="1">
      <alignment vertical="top"/>
    </xf>
    <xf numFmtId="0" fontId="3" fillId="0" borderId="35" xfId="0" applyFont="1" applyBorder="1" applyAlignment="1">
      <alignment horizontal="center" vertical="center" textRotation="90"/>
    </xf>
    <xf numFmtId="0" fontId="25" fillId="6" borderId="36" xfId="0" applyFont="1" applyFill="1" applyBorder="1" applyAlignment="1">
      <alignment horizontal="left" vertical="top" wrapText="1"/>
    </xf>
    <xf numFmtId="165" fontId="16" fillId="6" borderId="51" xfId="0" applyNumberFormat="1" applyFont="1" applyFill="1" applyBorder="1" applyAlignment="1">
      <alignment horizontal="center" vertical="top"/>
    </xf>
    <xf numFmtId="0" fontId="3" fillId="6" borderId="30" xfId="0" applyFont="1" applyFill="1" applyBorder="1" applyAlignment="1">
      <alignment horizontal="center" vertical="top"/>
    </xf>
    <xf numFmtId="0" fontId="3" fillId="6" borderId="29" xfId="0" applyFont="1" applyFill="1" applyBorder="1" applyAlignment="1">
      <alignment horizontal="center" vertical="top"/>
    </xf>
    <xf numFmtId="0" fontId="3" fillId="6" borderId="18" xfId="0" applyFont="1" applyFill="1" applyBorder="1" applyAlignment="1">
      <alignment horizontal="center" vertical="top"/>
    </xf>
    <xf numFmtId="0" fontId="3" fillId="6" borderId="1" xfId="0" applyFont="1" applyFill="1" applyBorder="1" applyAlignment="1">
      <alignment horizontal="center" vertical="top"/>
    </xf>
    <xf numFmtId="0" fontId="3" fillId="6" borderId="16" xfId="0" applyFont="1" applyFill="1" applyBorder="1" applyAlignment="1">
      <alignment horizontal="center" vertical="top"/>
    </xf>
    <xf numFmtId="165" fontId="3" fillId="6" borderId="36" xfId="0" applyNumberFormat="1" applyFont="1" applyFill="1" applyBorder="1" applyAlignment="1">
      <alignment horizontal="center" vertical="center"/>
    </xf>
    <xf numFmtId="3" fontId="3" fillId="6" borderId="45" xfId="0" applyNumberFormat="1" applyFont="1" applyFill="1" applyBorder="1" applyAlignment="1">
      <alignment horizontal="center" vertical="top"/>
    </xf>
    <xf numFmtId="49" fontId="5" fillId="6" borderId="23" xfId="0" applyNumberFormat="1" applyFont="1" applyFill="1" applyBorder="1" applyAlignment="1">
      <alignment horizontal="center" vertical="top"/>
    </xf>
    <xf numFmtId="165" fontId="3" fillId="0" borderId="51" xfId="0" applyNumberFormat="1" applyFont="1" applyFill="1" applyBorder="1" applyAlignment="1">
      <alignment horizontal="center" vertical="top"/>
    </xf>
    <xf numFmtId="165" fontId="3" fillId="6" borderId="28" xfId="0" applyNumberFormat="1" applyFont="1" applyFill="1" applyBorder="1" applyAlignment="1">
      <alignment horizontal="center" vertical="top" wrapText="1"/>
    </xf>
    <xf numFmtId="165" fontId="3" fillId="2" borderId="67" xfId="0" applyNumberFormat="1" applyFont="1" applyFill="1" applyBorder="1" applyAlignment="1">
      <alignment horizontal="center" vertical="top"/>
    </xf>
    <xf numFmtId="3" fontId="9" fillId="0" borderId="61" xfId="1" applyNumberFormat="1" applyFont="1" applyBorder="1" applyAlignment="1">
      <alignment horizontal="center" vertical="top"/>
    </xf>
    <xf numFmtId="0" fontId="2" fillId="6" borderId="22" xfId="0" applyFont="1" applyFill="1" applyBorder="1" applyAlignment="1">
      <alignment horizontal="center" vertical="center" textRotation="90" wrapText="1"/>
    </xf>
    <xf numFmtId="0" fontId="3" fillId="6" borderId="95" xfId="0" applyNumberFormat="1" applyFont="1" applyFill="1" applyBorder="1" applyAlignment="1">
      <alignment horizontal="center" vertical="top" wrapText="1"/>
    </xf>
    <xf numFmtId="0" fontId="3" fillId="6" borderId="91" xfId="0" applyNumberFormat="1" applyFont="1" applyFill="1" applyBorder="1" applyAlignment="1">
      <alignment horizontal="center" vertical="top" wrapText="1"/>
    </xf>
    <xf numFmtId="0" fontId="3" fillId="6" borderId="30" xfId="0" applyFont="1" applyFill="1" applyBorder="1" applyAlignment="1">
      <alignment vertical="top"/>
    </xf>
    <xf numFmtId="3" fontId="26" fillId="0" borderId="25" xfId="0" applyNumberFormat="1" applyFont="1" applyBorder="1" applyAlignment="1">
      <alignment vertical="top"/>
    </xf>
    <xf numFmtId="0" fontId="3" fillId="0" borderId="64" xfId="0" applyFont="1" applyBorder="1" applyAlignment="1">
      <alignment horizontal="center" vertical="center" textRotation="90" wrapText="1"/>
    </xf>
    <xf numFmtId="3" fontId="26" fillId="0" borderId="23" xfId="0" applyNumberFormat="1" applyFont="1" applyBorder="1" applyAlignment="1">
      <alignment vertical="top"/>
    </xf>
    <xf numFmtId="3" fontId="3" fillId="6" borderId="0" xfId="1" applyNumberFormat="1" applyFont="1" applyFill="1" applyBorder="1" applyAlignment="1">
      <alignment horizontal="center" vertical="top"/>
    </xf>
    <xf numFmtId="1" fontId="3" fillId="6" borderId="0" xfId="1" applyNumberFormat="1" applyFont="1" applyFill="1" applyBorder="1" applyAlignment="1">
      <alignment horizontal="center" vertical="top" wrapText="1"/>
    </xf>
    <xf numFmtId="0" fontId="3" fillId="12" borderId="0" xfId="0" applyFont="1" applyFill="1" applyBorder="1" applyAlignment="1">
      <alignment horizontal="center" vertical="top" wrapText="1"/>
    </xf>
    <xf numFmtId="3" fontId="3" fillId="6" borderId="45" xfId="0" applyNumberFormat="1" applyFont="1" applyFill="1" applyBorder="1" applyAlignment="1">
      <alignment horizontal="center" vertical="top" wrapText="1"/>
    </xf>
    <xf numFmtId="3" fontId="3" fillId="6" borderId="38" xfId="0" applyNumberFormat="1" applyFont="1" applyFill="1" applyBorder="1" applyAlignment="1">
      <alignment horizontal="center" vertical="top"/>
    </xf>
    <xf numFmtId="3" fontId="3" fillId="6" borderId="26" xfId="0" applyNumberFormat="1" applyFont="1" applyFill="1" applyBorder="1" applyAlignment="1">
      <alignment horizontal="center" vertical="top" wrapText="1"/>
    </xf>
    <xf numFmtId="3" fontId="3" fillId="6" borderId="103" xfId="1" applyNumberFormat="1" applyFont="1" applyFill="1" applyBorder="1" applyAlignment="1">
      <alignment horizontal="center" vertical="top"/>
    </xf>
    <xf numFmtId="3" fontId="3" fillId="6" borderId="97" xfId="1" applyNumberFormat="1" applyFont="1" applyFill="1" applyBorder="1" applyAlignment="1">
      <alignment horizontal="center" vertical="top"/>
    </xf>
    <xf numFmtId="3" fontId="3" fillId="6" borderId="100" xfId="1" applyNumberFormat="1" applyFont="1" applyFill="1" applyBorder="1" applyAlignment="1">
      <alignment horizontal="center" vertical="top"/>
    </xf>
    <xf numFmtId="3" fontId="3" fillId="6" borderId="99" xfId="1" applyNumberFormat="1" applyFont="1" applyFill="1" applyBorder="1" applyAlignment="1">
      <alignment horizontal="center" vertical="top"/>
    </xf>
    <xf numFmtId="3" fontId="3" fillId="6" borderId="102" xfId="1" applyNumberFormat="1" applyFont="1" applyFill="1" applyBorder="1" applyAlignment="1">
      <alignment horizontal="center" vertical="top"/>
    </xf>
    <xf numFmtId="3" fontId="3" fillId="6" borderId="97" xfId="1" applyNumberFormat="1" applyFont="1" applyFill="1" applyBorder="1" applyAlignment="1">
      <alignment horizontal="center" vertical="top" wrapText="1"/>
    </xf>
    <xf numFmtId="3" fontId="3" fillId="6" borderId="99" xfId="1" applyNumberFormat="1" applyFont="1" applyFill="1" applyBorder="1" applyAlignment="1">
      <alignment horizontal="center" vertical="top" wrapText="1"/>
    </xf>
    <xf numFmtId="1" fontId="3" fillId="6" borderId="99" xfId="0" applyNumberFormat="1" applyFont="1" applyFill="1" applyBorder="1" applyAlignment="1">
      <alignment horizontal="center" vertical="top" wrapText="1"/>
    </xf>
    <xf numFmtId="3" fontId="3" fillId="6" borderId="38" xfId="0" applyNumberFormat="1" applyFont="1" applyFill="1" applyBorder="1" applyAlignment="1">
      <alignment horizontal="center" vertical="top" wrapText="1"/>
    </xf>
    <xf numFmtId="164" fontId="2" fillId="6" borderId="38" xfId="0" applyNumberFormat="1" applyFont="1" applyFill="1" applyBorder="1" applyAlignment="1">
      <alignment horizontal="center" vertical="center" wrapText="1"/>
    </xf>
    <xf numFmtId="3" fontId="5" fillId="6" borderId="43" xfId="0" applyNumberFormat="1" applyFont="1" applyFill="1" applyBorder="1" applyAlignment="1">
      <alignment horizontal="center" vertical="top" wrapText="1"/>
    </xf>
    <xf numFmtId="0" fontId="4" fillId="0" borderId="0" xfId="0" applyFont="1" applyAlignment="1">
      <alignment horizontal="left" vertical="top" wrapText="1"/>
    </xf>
    <xf numFmtId="0" fontId="0" fillId="0" borderId="0" xfId="0" applyAlignment="1">
      <alignment horizontal="left" vertical="top"/>
    </xf>
    <xf numFmtId="0" fontId="5" fillId="0" borderId="0" xfId="0" applyFont="1" applyBorder="1" applyAlignment="1">
      <alignment horizontal="right" vertical="top"/>
    </xf>
    <xf numFmtId="4" fontId="3" fillId="2" borderId="44" xfId="0" applyNumberFormat="1" applyFont="1" applyFill="1" applyBorder="1" applyAlignment="1">
      <alignment horizontal="center" vertical="top"/>
    </xf>
    <xf numFmtId="49" fontId="3" fillId="6" borderId="95" xfId="0" applyNumberFormat="1" applyFont="1" applyFill="1" applyBorder="1" applyAlignment="1">
      <alignment horizontal="center" vertical="top" wrapText="1"/>
    </xf>
    <xf numFmtId="1" fontId="3" fillId="6" borderId="85" xfId="0" applyNumberFormat="1" applyFont="1" applyFill="1" applyBorder="1" applyAlignment="1">
      <alignment horizontal="center" vertical="top" wrapText="1"/>
    </xf>
    <xf numFmtId="3" fontId="3" fillId="0" borderId="45" xfId="0" applyNumberFormat="1" applyFont="1" applyFill="1" applyBorder="1" applyAlignment="1">
      <alignment horizontal="center" vertical="top"/>
    </xf>
    <xf numFmtId="165" fontId="3" fillId="6" borderId="16" xfId="0" applyNumberFormat="1" applyFont="1" applyFill="1" applyBorder="1" applyAlignment="1">
      <alignment horizontal="center" vertical="top" wrapText="1"/>
    </xf>
    <xf numFmtId="3" fontId="3" fillId="6" borderId="16" xfId="1" applyNumberFormat="1" applyFont="1" applyFill="1" applyBorder="1" applyAlignment="1">
      <alignment horizontal="center" vertical="top"/>
    </xf>
    <xf numFmtId="1" fontId="3" fillId="6" borderId="16" xfId="1" applyNumberFormat="1" applyFont="1" applyFill="1" applyBorder="1" applyAlignment="1">
      <alignment horizontal="center" vertical="top" wrapText="1"/>
    </xf>
    <xf numFmtId="0" fontId="3" fillId="12" borderId="16" xfId="0" applyFont="1" applyFill="1" applyBorder="1" applyAlignment="1">
      <alignment horizontal="center" vertical="top" wrapText="1"/>
    </xf>
    <xf numFmtId="165" fontId="16" fillId="6" borderId="30" xfId="0" applyNumberFormat="1" applyFont="1" applyFill="1" applyBorder="1" applyAlignment="1">
      <alignment horizontal="center" vertical="top"/>
    </xf>
    <xf numFmtId="0" fontId="3" fillId="6" borderId="16" xfId="0" applyNumberFormat="1" applyFont="1" applyFill="1" applyBorder="1" applyAlignment="1">
      <alignment horizontal="center" vertical="top" wrapText="1"/>
    </xf>
    <xf numFmtId="3" fontId="3" fillId="0" borderId="16" xfId="0" applyNumberFormat="1" applyFont="1" applyFill="1" applyBorder="1" applyAlignment="1">
      <alignment horizontal="center" vertical="top"/>
    </xf>
    <xf numFmtId="3" fontId="3" fillId="6" borderId="1" xfId="1" applyNumberFormat="1" applyFont="1" applyFill="1" applyBorder="1" applyAlignment="1">
      <alignment horizontal="center" vertical="top"/>
    </xf>
    <xf numFmtId="3" fontId="3" fillId="6" borderId="16" xfId="1" applyNumberFormat="1" applyFont="1" applyFill="1" applyBorder="1" applyAlignment="1">
      <alignment horizontal="center" vertical="top" wrapText="1"/>
    </xf>
    <xf numFmtId="0" fontId="3" fillId="6" borderId="46" xfId="0" applyFont="1" applyFill="1" applyBorder="1" applyAlignment="1">
      <alignment horizontal="center" vertical="center"/>
    </xf>
    <xf numFmtId="0" fontId="3" fillId="6" borderId="75" xfId="0" applyFont="1" applyFill="1" applyBorder="1" applyAlignment="1">
      <alignment horizontal="center" vertical="center"/>
    </xf>
    <xf numFmtId="165" fontId="3" fillId="0" borderId="45" xfId="0" applyNumberFormat="1" applyFont="1" applyFill="1" applyBorder="1" applyAlignment="1">
      <alignment horizontal="center" vertical="top"/>
    </xf>
    <xf numFmtId="165" fontId="3" fillId="2" borderId="0" xfId="0" applyNumberFormat="1" applyFont="1" applyFill="1" applyBorder="1" applyAlignment="1">
      <alignment horizontal="center" vertical="top"/>
    </xf>
    <xf numFmtId="165" fontId="3" fillId="2" borderId="24" xfId="0" applyNumberFormat="1" applyFont="1" applyFill="1" applyBorder="1" applyAlignment="1">
      <alignment horizontal="center" vertical="top"/>
    </xf>
    <xf numFmtId="165" fontId="3" fillId="0" borderId="30" xfId="0" applyNumberFormat="1" applyFont="1" applyFill="1" applyBorder="1" applyAlignment="1">
      <alignment horizontal="center" vertical="top"/>
    </xf>
    <xf numFmtId="165" fontId="3" fillId="0" borderId="61" xfId="0" applyNumberFormat="1" applyFont="1" applyFill="1" applyBorder="1" applyAlignment="1">
      <alignment horizontal="center" vertical="top"/>
    </xf>
    <xf numFmtId="165" fontId="3" fillId="6" borderId="28" xfId="0" applyNumberFormat="1" applyFont="1" applyFill="1" applyBorder="1" applyAlignment="1">
      <alignment vertical="top"/>
    </xf>
    <xf numFmtId="0" fontId="3" fillId="0" borderId="46" xfId="0" applyFont="1" applyBorder="1" applyAlignment="1">
      <alignment vertical="top"/>
    </xf>
    <xf numFmtId="0" fontId="3" fillId="6" borderId="46" xfId="0" applyFont="1" applyFill="1" applyBorder="1" applyAlignment="1">
      <alignment vertical="top"/>
    </xf>
    <xf numFmtId="3" fontId="3" fillId="6" borderId="75" xfId="0" applyNumberFormat="1" applyFont="1" applyFill="1" applyBorder="1" applyAlignment="1">
      <alignment horizontal="center" vertical="top"/>
    </xf>
    <xf numFmtId="3" fontId="3" fillId="6" borderId="95" xfId="0" applyNumberFormat="1" applyFont="1" applyFill="1" applyBorder="1" applyAlignment="1">
      <alignment horizontal="center" vertical="top"/>
    </xf>
    <xf numFmtId="3" fontId="3" fillId="0" borderId="37" xfId="0" applyNumberFormat="1" applyFont="1" applyFill="1" applyBorder="1" applyAlignment="1">
      <alignment horizontal="center" vertical="top"/>
    </xf>
    <xf numFmtId="3" fontId="3" fillId="0" borderId="39" xfId="0" applyNumberFormat="1" applyFont="1" applyFill="1" applyBorder="1" applyAlignment="1">
      <alignment horizontal="center" vertical="top"/>
    </xf>
    <xf numFmtId="3" fontId="3" fillId="0" borderId="0" xfId="0" applyNumberFormat="1" applyFont="1" applyFill="1" applyBorder="1" applyAlignment="1">
      <alignment horizontal="center" vertical="top"/>
    </xf>
    <xf numFmtId="3" fontId="3" fillId="0" borderId="25" xfId="0" applyNumberFormat="1" applyFont="1" applyFill="1" applyBorder="1" applyAlignment="1">
      <alignment horizontal="center" vertical="top"/>
    </xf>
    <xf numFmtId="3" fontId="3" fillId="6" borderId="43" xfId="0" applyNumberFormat="1" applyFont="1" applyFill="1" applyBorder="1" applyAlignment="1">
      <alignment horizontal="center" vertical="top"/>
    </xf>
    <xf numFmtId="3" fontId="3" fillId="6" borderId="55" xfId="0" applyNumberFormat="1" applyFont="1" applyFill="1" applyBorder="1" applyAlignment="1">
      <alignment horizontal="center" vertical="top"/>
    </xf>
    <xf numFmtId="165" fontId="11" fillId="6" borderId="61" xfId="0" applyNumberFormat="1" applyFont="1" applyFill="1" applyBorder="1" applyAlignment="1">
      <alignment horizontal="center" vertical="top"/>
    </xf>
    <xf numFmtId="165" fontId="11" fillId="6" borderId="50" xfId="0" applyNumberFormat="1" applyFont="1" applyFill="1" applyBorder="1" applyAlignment="1">
      <alignment horizontal="center" vertical="top"/>
    </xf>
    <xf numFmtId="165" fontId="11" fillId="6" borderId="51" xfId="0" applyNumberFormat="1" applyFont="1" applyFill="1" applyBorder="1" applyAlignment="1">
      <alignment horizontal="center" vertical="top"/>
    </xf>
    <xf numFmtId="165" fontId="20" fillId="8" borderId="32" xfId="0" applyNumberFormat="1" applyFont="1" applyFill="1" applyBorder="1" applyAlignment="1">
      <alignment horizontal="center" vertical="top"/>
    </xf>
    <xf numFmtId="165" fontId="11" fillId="6" borderId="30" xfId="0" applyNumberFormat="1" applyFont="1" applyFill="1" applyBorder="1" applyAlignment="1">
      <alignment horizontal="center" vertical="top"/>
    </xf>
    <xf numFmtId="165" fontId="5" fillId="10" borderId="4" xfId="0" applyNumberFormat="1" applyFont="1" applyFill="1" applyBorder="1" applyAlignment="1">
      <alignment horizontal="center" vertical="top"/>
    </xf>
    <xf numFmtId="165" fontId="5" fillId="4" borderId="4" xfId="0" applyNumberFormat="1" applyFont="1" applyFill="1" applyBorder="1" applyAlignment="1">
      <alignment horizontal="center" vertical="top"/>
    </xf>
    <xf numFmtId="165" fontId="5" fillId="4" borderId="68" xfId="0" applyNumberFormat="1" applyFont="1" applyFill="1" applyBorder="1" applyAlignment="1">
      <alignment horizontal="center" vertical="top"/>
    </xf>
    <xf numFmtId="165" fontId="3" fillId="8" borderId="61" xfId="0" applyNumberFormat="1" applyFont="1" applyFill="1" applyBorder="1" applyAlignment="1">
      <alignment horizontal="center" vertical="top"/>
    </xf>
    <xf numFmtId="165" fontId="5" fillId="5" borderId="31" xfId="0" applyNumberFormat="1" applyFont="1" applyFill="1" applyBorder="1" applyAlignment="1">
      <alignment horizontal="center" vertical="top"/>
    </xf>
    <xf numFmtId="165" fontId="5" fillId="4" borderId="57" xfId="0" applyNumberFormat="1" applyFont="1" applyFill="1" applyBorder="1" applyAlignment="1">
      <alignment horizontal="center" vertical="top"/>
    </xf>
    <xf numFmtId="165" fontId="5" fillId="8" borderId="40" xfId="0" applyNumberFormat="1" applyFont="1" applyFill="1" applyBorder="1" applyAlignment="1">
      <alignment horizontal="center" vertical="top" wrapText="1"/>
    </xf>
    <xf numFmtId="165" fontId="3" fillId="0" borderId="51" xfId="0" applyNumberFormat="1" applyFont="1" applyBorder="1" applyAlignment="1">
      <alignment horizontal="center" vertical="top"/>
    </xf>
    <xf numFmtId="165" fontId="3" fillId="8" borderId="51" xfId="0" applyNumberFormat="1" applyFont="1" applyFill="1" applyBorder="1" applyAlignment="1">
      <alignment horizontal="center" vertical="top"/>
    </xf>
    <xf numFmtId="165" fontId="5" fillId="5" borderId="32" xfId="0" applyNumberFormat="1" applyFont="1" applyFill="1" applyBorder="1" applyAlignment="1">
      <alignment horizontal="center" vertical="top"/>
    </xf>
    <xf numFmtId="165" fontId="5" fillId="8" borderId="2" xfId="0" applyNumberFormat="1" applyFont="1" applyFill="1" applyBorder="1" applyAlignment="1">
      <alignment horizontal="center" vertical="top" wrapText="1"/>
    </xf>
    <xf numFmtId="165" fontId="3" fillId="0" borderId="2" xfId="0" applyNumberFormat="1" applyFont="1" applyBorder="1" applyAlignment="1">
      <alignment horizontal="center" vertical="top" wrapText="1"/>
    </xf>
    <xf numFmtId="165" fontId="3" fillId="8" borderId="2" xfId="0" applyNumberFormat="1" applyFont="1" applyFill="1" applyBorder="1" applyAlignment="1">
      <alignment horizontal="center" vertical="top" wrapText="1"/>
    </xf>
    <xf numFmtId="165" fontId="5" fillId="4" borderId="2" xfId="0" applyNumberFormat="1" applyFont="1" applyFill="1" applyBorder="1" applyAlignment="1">
      <alignment horizontal="center" vertical="top" wrapText="1"/>
    </xf>
    <xf numFmtId="165" fontId="5" fillId="4" borderId="11" xfId="0" applyNumberFormat="1" applyFont="1" applyFill="1" applyBorder="1" applyAlignment="1">
      <alignment horizontal="center" vertical="top"/>
    </xf>
    <xf numFmtId="165" fontId="3" fillId="0" borderId="30" xfId="0" applyNumberFormat="1" applyFont="1" applyBorder="1" applyAlignment="1">
      <alignment horizontal="center" vertical="top"/>
    </xf>
    <xf numFmtId="165" fontId="3" fillId="8" borderId="30" xfId="0" applyNumberFormat="1" applyFont="1" applyFill="1" applyBorder="1" applyAlignment="1">
      <alignment horizontal="center" vertical="top"/>
    </xf>
    <xf numFmtId="165" fontId="5" fillId="5" borderId="22" xfId="0" applyNumberFormat="1" applyFont="1" applyFill="1" applyBorder="1" applyAlignment="1">
      <alignment horizontal="center" vertical="top"/>
    </xf>
    <xf numFmtId="3" fontId="3" fillId="6" borderId="93" xfId="0" applyNumberFormat="1" applyFont="1" applyFill="1" applyBorder="1" applyAlignment="1">
      <alignment horizontal="center" vertical="top" wrapText="1"/>
    </xf>
    <xf numFmtId="3" fontId="3" fillId="6" borderId="16" xfId="0" applyNumberFormat="1" applyFont="1" applyFill="1" applyBorder="1" applyAlignment="1">
      <alignment horizontal="center" vertical="top" wrapText="1"/>
    </xf>
    <xf numFmtId="3" fontId="3" fillId="6" borderId="74" xfId="0" applyNumberFormat="1" applyFont="1" applyFill="1" applyBorder="1" applyAlignment="1">
      <alignment horizontal="center" vertical="top" wrapText="1"/>
    </xf>
    <xf numFmtId="165" fontId="3" fillId="8" borderId="66" xfId="0" applyNumberFormat="1" applyFont="1" applyFill="1" applyBorder="1" applyAlignment="1">
      <alignment horizontal="center" vertical="top" wrapText="1"/>
    </xf>
    <xf numFmtId="165" fontId="3" fillId="0" borderId="66" xfId="0" applyNumberFormat="1" applyFont="1" applyBorder="1" applyAlignment="1">
      <alignment horizontal="center" vertical="top" wrapText="1"/>
    </xf>
    <xf numFmtId="0" fontId="0" fillId="0" borderId="0" xfId="0" applyAlignment="1">
      <alignment horizontal="left" vertical="top" wrapText="1"/>
    </xf>
    <xf numFmtId="165" fontId="5" fillId="8" borderId="66" xfId="0" applyNumberFormat="1" applyFont="1" applyFill="1" applyBorder="1" applyAlignment="1">
      <alignment horizontal="center" vertical="top" wrapText="1"/>
    </xf>
    <xf numFmtId="165" fontId="5" fillId="4" borderId="66" xfId="0" applyNumberFormat="1" applyFont="1" applyFill="1" applyBorder="1" applyAlignment="1">
      <alignment horizontal="center" vertical="top" wrapText="1"/>
    </xf>
    <xf numFmtId="3" fontId="3" fillId="6" borderId="38" xfId="1" applyNumberFormat="1" applyFont="1" applyFill="1" applyBorder="1" applyAlignment="1">
      <alignment horizontal="center" vertical="top"/>
    </xf>
    <xf numFmtId="165" fontId="3" fillId="0" borderId="62" xfId="0" applyNumberFormat="1" applyFont="1" applyFill="1" applyBorder="1" applyAlignment="1">
      <alignment horizontal="center" vertical="top" wrapText="1"/>
    </xf>
    <xf numFmtId="3" fontId="3" fillId="6" borderId="45" xfId="1" applyNumberFormat="1" applyFont="1" applyFill="1" applyBorder="1" applyAlignment="1">
      <alignment horizontal="center" vertical="top"/>
    </xf>
    <xf numFmtId="3" fontId="3" fillId="6" borderId="0" xfId="1" applyNumberFormat="1" applyFont="1" applyFill="1" applyBorder="1" applyAlignment="1">
      <alignment horizontal="center" vertical="top" wrapText="1"/>
    </xf>
    <xf numFmtId="0" fontId="3" fillId="12" borderId="45" xfId="0" applyFont="1" applyFill="1" applyBorder="1" applyAlignment="1">
      <alignment horizontal="center" vertical="top" wrapText="1"/>
    </xf>
    <xf numFmtId="0" fontId="3" fillId="6" borderId="28" xfId="0" applyNumberFormat="1" applyFont="1" applyFill="1" applyBorder="1" applyAlignment="1">
      <alignment horizontal="center" vertical="top"/>
    </xf>
    <xf numFmtId="0" fontId="3" fillId="6" borderId="29" xfId="0" applyFont="1" applyFill="1" applyBorder="1" applyAlignment="1">
      <alignment vertical="top"/>
    </xf>
    <xf numFmtId="165" fontId="3" fillId="0" borderId="105" xfId="0" applyNumberFormat="1" applyFont="1" applyFill="1" applyBorder="1" applyAlignment="1">
      <alignment horizontal="center" vertical="top" wrapText="1"/>
    </xf>
    <xf numFmtId="3" fontId="3" fillId="6" borderId="70" xfId="1" applyNumberFormat="1" applyFont="1" applyFill="1" applyBorder="1" applyAlignment="1">
      <alignment horizontal="center" vertical="top"/>
    </xf>
    <xf numFmtId="3" fontId="3" fillId="6" borderId="79" xfId="1" applyNumberFormat="1" applyFont="1" applyFill="1" applyBorder="1" applyAlignment="1">
      <alignment horizontal="center" vertical="top"/>
    </xf>
    <xf numFmtId="3" fontId="3" fillId="6" borderId="71" xfId="1" applyNumberFormat="1" applyFont="1" applyFill="1" applyBorder="1" applyAlignment="1">
      <alignment horizontal="center" vertical="top"/>
    </xf>
    <xf numFmtId="3" fontId="3" fillId="6" borderId="29" xfId="1" applyNumberFormat="1" applyFont="1" applyFill="1" applyBorder="1" applyAlignment="1">
      <alignment horizontal="center" vertical="top"/>
    </xf>
    <xf numFmtId="3" fontId="3" fillId="6" borderId="71" xfId="1" applyNumberFormat="1" applyFont="1" applyFill="1" applyBorder="1" applyAlignment="1">
      <alignment horizontal="center" vertical="top" wrapText="1"/>
    </xf>
    <xf numFmtId="1" fontId="3" fillId="6" borderId="79" xfId="0" applyNumberFormat="1" applyFont="1" applyFill="1" applyBorder="1" applyAlignment="1">
      <alignment horizontal="center" vertical="top" wrapText="1"/>
    </xf>
    <xf numFmtId="3" fontId="3" fillId="6" borderId="71" xfId="0" applyNumberFormat="1" applyFont="1" applyFill="1" applyBorder="1" applyAlignment="1">
      <alignment horizontal="center" vertical="top" wrapText="1"/>
    </xf>
    <xf numFmtId="164" fontId="2" fillId="6" borderId="1" xfId="0" applyNumberFormat="1" applyFont="1" applyFill="1" applyBorder="1" applyAlignment="1">
      <alignment horizontal="center" vertical="center" wrapText="1"/>
    </xf>
    <xf numFmtId="3" fontId="3" fillId="8" borderId="106" xfId="0" applyNumberFormat="1" applyFont="1" applyFill="1" applyBorder="1" applyAlignment="1">
      <alignment horizontal="center" vertical="top"/>
    </xf>
    <xf numFmtId="0" fontId="3" fillId="6" borderId="100" xfId="0" applyNumberFormat="1" applyFont="1" applyFill="1" applyBorder="1" applyAlignment="1">
      <alignment horizontal="center" vertical="top" wrapText="1"/>
    </xf>
    <xf numFmtId="3" fontId="3" fillId="6" borderId="79" xfId="0" applyNumberFormat="1" applyFont="1" applyFill="1" applyBorder="1" applyAlignment="1">
      <alignment horizontal="center" vertical="top" wrapText="1"/>
    </xf>
    <xf numFmtId="3" fontId="3" fillId="6" borderId="95" xfId="0" applyNumberFormat="1" applyFont="1" applyFill="1" applyBorder="1" applyAlignment="1">
      <alignment horizontal="center" vertical="top" wrapText="1"/>
    </xf>
    <xf numFmtId="3" fontId="3" fillId="6" borderId="91" xfId="0" applyNumberFormat="1" applyFont="1" applyFill="1" applyBorder="1" applyAlignment="1">
      <alignment horizontal="center" vertical="top" wrapText="1"/>
    </xf>
    <xf numFmtId="0" fontId="9" fillId="0" borderId="62" xfId="0" applyFont="1" applyFill="1" applyBorder="1" applyAlignment="1">
      <alignment vertical="top" wrapText="1"/>
    </xf>
    <xf numFmtId="0" fontId="3" fillId="6" borderId="38" xfId="0" applyFont="1" applyFill="1" applyBorder="1" applyAlignment="1">
      <alignment horizontal="left" vertical="top" wrapText="1"/>
    </xf>
    <xf numFmtId="0" fontId="3" fillId="6" borderId="107" xfId="0" applyFont="1" applyFill="1" applyBorder="1" applyAlignment="1">
      <alignment vertical="top" wrapText="1"/>
    </xf>
    <xf numFmtId="165" fontId="3" fillId="6" borderId="61" xfId="1" applyNumberFormat="1" applyFont="1" applyFill="1" applyBorder="1" applyAlignment="1">
      <alignment horizontal="center" vertical="top"/>
    </xf>
    <xf numFmtId="0" fontId="3" fillId="6" borderId="44" xfId="0" applyFont="1" applyFill="1" applyBorder="1" applyAlignment="1">
      <alignment horizontal="center" vertical="top"/>
    </xf>
    <xf numFmtId="0" fontId="3" fillId="0" borderId="44" xfId="0" applyFont="1" applyBorder="1" applyAlignment="1">
      <alignment vertical="top"/>
    </xf>
    <xf numFmtId="49" fontId="5" fillId="8" borderId="26" xfId="0" applyNumberFormat="1" applyFont="1" applyFill="1" applyBorder="1" applyAlignment="1">
      <alignment horizontal="center" vertical="top" wrapText="1"/>
    </xf>
    <xf numFmtId="3" fontId="3" fillId="2" borderId="6" xfId="0" applyNumberFormat="1" applyFont="1" applyFill="1" applyBorder="1" applyAlignment="1">
      <alignment horizontal="right" vertical="top"/>
    </xf>
    <xf numFmtId="0" fontId="5" fillId="6" borderId="17" xfId="0" applyFont="1" applyFill="1" applyBorder="1" applyAlignment="1">
      <alignment horizontal="center" vertical="top" wrapText="1"/>
    </xf>
    <xf numFmtId="165" fontId="3" fillId="0" borderId="0" xfId="0" applyNumberFormat="1" applyFont="1" applyFill="1" applyBorder="1" applyAlignment="1">
      <alignment horizontal="center" vertical="top" wrapText="1"/>
    </xf>
    <xf numFmtId="0" fontId="28" fillId="6" borderId="14" xfId="0" applyFont="1" applyFill="1" applyBorder="1" applyAlignment="1">
      <alignment horizontal="center" vertical="center" textRotation="90" wrapText="1"/>
    </xf>
    <xf numFmtId="49" fontId="27" fillId="6" borderId="16" xfId="0" applyNumberFormat="1" applyFont="1" applyFill="1" applyBorder="1" applyAlignment="1">
      <alignment horizontal="center" vertical="top"/>
    </xf>
    <xf numFmtId="0" fontId="28" fillId="6" borderId="14" xfId="0" applyFont="1" applyFill="1" applyBorder="1" applyAlignment="1">
      <alignment horizontal="left" vertical="top" wrapText="1"/>
    </xf>
    <xf numFmtId="0" fontId="28" fillId="6" borderId="8" xfId="0" applyFont="1" applyFill="1" applyBorder="1" applyAlignment="1">
      <alignment horizontal="center" vertical="top"/>
    </xf>
    <xf numFmtId="165" fontId="28" fillId="6" borderId="36" xfId="0" applyNumberFormat="1" applyFont="1" applyFill="1" applyBorder="1" applyAlignment="1">
      <alignment horizontal="center" vertical="top"/>
    </xf>
    <xf numFmtId="165" fontId="28" fillId="6" borderId="49" xfId="0" applyNumberFormat="1" applyFont="1" applyFill="1" applyBorder="1" applyAlignment="1">
      <alignment horizontal="center" vertical="top"/>
    </xf>
    <xf numFmtId="165" fontId="3" fillId="6" borderId="97" xfId="0" applyNumberFormat="1" applyFont="1" applyFill="1" applyBorder="1" applyAlignment="1">
      <alignment horizontal="center" vertical="top"/>
    </xf>
    <xf numFmtId="165" fontId="3" fillId="6" borderId="89" xfId="0" applyNumberFormat="1" applyFont="1" applyFill="1" applyBorder="1" applyAlignment="1">
      <alignment horizontal="center" vertical="top"/>
    </xf>
    <xf numFmtId="3" fontId="3" fillId="6" borderId="90" xfId="0" applyNumberFormat="1" applyFont="1" applyFill="1" applyBorder="1" applyAlignment="1">
      <alignment horizontal="center" vertical="top"/>
    </xf>
    <xf numFmtId="3" fontId="3" fillId="6" borderId="97" xfId="0" applyNumberFormat="1" applyFont="1" applyFill="1" applyBorder="1" applyAlignment="1">
      <alignment horizontal="center" vertical="top"/>
    </xf>
    <xf numFmtId="3" fontId="3" fillId="6" borderId="93" xfId="0" applyNumberFormat="1" applyFont="1" applyFill="1" applyBorder="1" applyAlignment="1">
      <alignment horizontal="center" vertical="top"/>
    </xf>
    <xf numFmtId="0" fontId="23" fillId="0" borderId="0" xfId="0" applyFont="1" applyAlignment="1">
      <alignment horizontal="right" wrapText="1"/>
    </xf>
    <xf numFmtId="3" fontId="3" fillId="0" borderId="0" xfId="0" applyNumberFormat="1" applyFont="1" applyFill="1" applyBorder="1" applyAlignment="1">
      <alignment horizontal="left" vertical="top" wrapText="1"/>
    </xf>
    <xf numFmtId="0" fontId="3" fillId="6" borderId="19" xfId="0" applyFont="1" applyFill="1" applyBorder="1" applyAlignment="1">
      <alignment horizontal="center" vertical="top" wrapText="1"/>
    </xf>
    <xf numFmtId="165" fontId="3" fillId="6" borderId="61" xfId="0" applyNumberFormat="1" applyFont="1" applyFill="1" applyBorder="1" applyAlignment="1">
      <alignment horizontal="center" vertical="top"/>
    </xf>
    <xf numFmtId="165" fontId="3" fillId="6" borderId="30" xfId="0" applyNumberFormat="1" applyFont="1" applyFill="1" applyBorder="1" applyAlignment="1">
      <alignment horizontal="center" vertical="top"/>
    </xf>
    <xf numFmtId="0" fontId="3" fillId="6" borderId="35" xfId="0" applyFont="1" applyFill="1" applyBorder="1" applyAlignment="1">
      <alignment horizontal="center" vertical="top" wrapText="1"/>
    </xf>
    <xf numFmtId="1" fontId="3" fillId="6" borderId="75" xfId="0" applyNumberFormat="1" applyFont="1" applyFill="1" applyBorder="1" applyAlignment="1">
      <alignment horizontal="center" vertical="top" wrapText="1"/>
    </xf>
    <xf numFmtId="0" fontId="3" fillId="6" borderId="61" xfId="0" applyFont="1" applyFill="1" applyBorder="1" applyAlignment="1">
      <alignment vertical="top" wrapText="1"/>
    </xf>
    <xf numFmtId="0" fontId="3" fillId="6" borderId="28" xfId="0" applyNumberFormat="1" applyFont="1" applyFill="1" applyBorder="1" applyAlignment="1">
      <alignment horizontal="center" vertical="top" wrapText="1"/>
    </xf>
    <xf numFmtId="0" fontId="5" fillId="2" borderId="46" xfId="0" applyFont="1" applyFill="1" applyBorder="1" applyAlignment="1">
      <alignment horizontal="center" vertical="top" wrapText="1"/>
    </xf>
    <xf numFmtId="0" fontId="3" fillId="2" borderId="42" xfId="0" applyFont="1" applyFill="1" applyBorder="1" applyAlignment="1">
      <alignment horizontal="center" vertical="top" wrapText="1"/>
    </xf>
    <xf numFmtId="49" fontId="29" fillId="6" borderId="0" xfId="0" applyNumberFormat="1" applyFont="1" applyFill="1" applyBorder="1" applyAlignment="1">
      <alignment horizontal="center" vertical="top"/>
    </xf>
    <xf numFmtId="0" fontId="3" fillId="6" borderId="86" xfId="0" applyFont="1" applyFill="1" applyBorder="1" applyAlignment="1">
      <alignment horizontal="left" vertical="top" wrapText="1"/>
    </xf>
    <xf numFmtId="3" fontId="3" fillId="6" borderId="90" xfId="0" applyNumberFormat="1" applyFont="1" applyFill="1" applyBorder="1" applyAlignment="1">
      <alignment horizontal="center" vertical="top" wrapText="1"/>
    </xf>
    <xf numFmtId="3" fontId="3" fillId="6" borderId="100" xfId="0" applyNumberFormat="1" applyFont="1" applyFill="1" applyBorder="1" applyAlignment="1">
      <alignment horizontal="center" vertical="top" wrapText="1"/>
    </xf>
    <xf numFmtId="165" fontId="3" fillId="6" borderId="18" xfId="0" applyNumberFormat="1" applyFont="1" applyFill="1" applyBorder="1" applyAlignment="1">
      <alignment horizontal="center" vertical="top" wrapText="1"/>
    </xf>
    <xf numFmtId="165" fontId="3" fillId="6" borderId="38" xfId="0" applyNumberFormat="1" applyFont="1" applyFill="1" applyBorder="1" applyAlignment="1">
      <alignment horizontal="center" vertical="top" wrapText="1"/>
    </xf>
    <xf numFmtId="0" fontId="3" fillId="6" borderId="97" xfId="0" applyFont="1" applyFill="1" applyBorder="1" applyAlignment="1">
      <alignment vertical="top" wrapText="1"/>
    </xf>
    <xf numFmtId="3" fontId="3" fillId="0" borderId="30" xfId="1" applyNumberFormat="1" applyFont="1" applyFill="1" applyBorder="1" applyAlignment="1">
      <alignment horizontal="center" vertical="top"/>
    </xf>
    <xf numFmtId="0" fontId="3" fillId="6" borderId="73" xfId="0" applyFont="1" applyFill="1" applyBorder="1" applyAlignment="1">
      <alignment vertical="top"/>
    </xf>
    <xf numFmtId="49" fontId="31" fillId="6" borderId="16" xfId="0" applyNumberFormat="1" applyFont="1" applyFill="1" applyBorder="1" applyAlignment="1">
      <alignment horizontal="center" vertical="top"/>
    </xf>
    <xf numFmtId="0" fontId="30" fillId="6" borderId="35" xfId="0" applyFont="1" applyFill="1" applyBorder="1" applyAlignment="1">
      <alignment horizontal="center" vertical="center" textRotation="90" wrapText="1"/>
    </xf>
    <xf numFmtId="165" fontId="3" fillId="6" borderId="29" xfId="0" applyNumberFormat="1" applyFont="1" applyFill="1" applyBorder="1" applyAlignment="1">
      <alignment horizontal="center" vertical="top" wrapText="1"/>
    </xf>
    <xf numFmtId="4" fontId="3" fillId="0" borderId="0" xfId="0" applyNumberFormat="1" applyFont="1" applyFill="1" applyAlignment="1">
      <alignment vertical="top"/>
    </xf>
    <xf numFmtId="0" fontId="3" fillId="6" borderId="74" xfId="0" applyFont="1" applyFill="1" applyBorder="1" applyAlignment="1">
      <alignment horizontal="center" vertical="top"/>
    </xf>
    <xf numFmtId="0" fontId="3" fillId="6" borderId="75" xfId="0" applyFont="1" applyFill="1" applyBorder="1" applyAlignment="1">
      <alignment horizontal="center" vertical="top"/>
    </xf>
    <xf numFmtId="0" fontId="3" fillId="6" borderId="79" xfId="0" applyFont="1" applyFill="1" applyBorder="1" applyAlignment="1">
      <alignment horizontal="center" vertical="top"/>
    </xf>
    <xf numFmtId="3" fontId="3" fillId="6" borderId="67" xfId="0" applyNumberFormat="1" applyFont="1" applyFill="1" applyBorder="1" applyAlignment="1">
      <alignment horizontal="right" vertical="center"/>
    </xf>
    <xf numFmtId="0" fontId="3" fillId="0" borderId="67" xfId="0" applyFont="1" applyBorder="1" applyAlignment="1">
      <alignment vertical="center" wrapText="1"/>
    </xf>
    <xf numFmtId="0" fontId="3" fillId="6" borderId="80" xfId="0" applyFont="1" applyFill="1" applyBorder="1" applyAlignment="1">
      <alignment vertical="top" wrapText="1"/>
    </xf>
    <xf numFmtId="165" fontId="3" fillId="0" borderId="38" xfId="0" applyNumberFormat="1" applyFont="1" applyFill="1" applyBorder="1" applyAlignment="1">
      <alignment horizontal="center" vertical="top"/>
    </xf>
    <xf numFmtId="165" fontId="3" fillId="0" borderId="53" xfId="0" applyNumberFormat="1" applyFont="1" applyFill="1" applyBorder="1" applyAlignment="1">
      <alignment horizontal="center" vertical="top"/>
    </xf>
    <xf numFmtId="3" fontId="3" fillId="6" borderId="7" xfId="0" applyNumberFormat="1" applyFont="1" applyFill="1" applyBorder="1" applyAlignment="1">
      <alignment vertical="top" wrapText="1"/>
    </xf>
    <xf numFmtId="0" fontId="3" fillId="6" borderId="43" xfId="0" applyNumberFormat="1" applyFont="1" applyFill="1" applyBorder="1" applyAlignment="1">
      <alignment horizontal="center" vertical="top" wrapText="1"/>
    </xf>
    <xf numFmtId="3" fontId="3" fillId="0" borderId="30" xfId="0" applyNumberFormat="1" applyFont="1" applyFill="1" applyBorder="1" applyAlignment="1">
      <alignment horizontal="center" vertical="top"/>
    </xf>
    <xf numFmtId="3" fontId="3" fillId="0" borderId="14" xfId="0" applyNumberFormat="1" applyFont="1" applyFill="1" applyBorder="1" applyAlignment="1">
      <alignment horizontal="center" vertical="top"/>
    </xf>
    <xf numFmtId="49" fontId="5" fillId="6" borderId="28" xfId="0" applyNumberFormat="1" applyFont="1" applyFill="1" applyBorder="1" applyAlignment="1">
      <alignment horizontal="center" vertical="top"/>
    </xf>
    <xf numFmtId="0" fontId="3" fillId="6" borderId="96" xfId="0" applyFont="1" applyFill="1" applyBorder="1" applyAlignment="1">
      <alignment vertical="top" wrapText="1"/>
    </xf>
    <xf numFmtId="165" fontId="3" fillId="6" borderId="80" xfId="0" applyNumberFormat="1" applyFont="1" applyFill="1" applyBorder="1" applyAlignment="1">
      <alignment vertical="top" wrapText="1"/>
    </xf>
    <xf numFmtId="0" fontId="3" fillId="6" borderId="74" xfId="0" applyFont="1" applyFill="1" applyBorder="1" applyAlignment="1">
      <alignment horizontal="left" vertical="top" wrapText="1"/>
    </xf>
    <xf numFmtId="3" fontId="3" fillId="6" borderId="44" xfId="1" applyNumberFormat="1" applyFont="1" applyFill="1" applyBorder="1" applyAlignment="1">
      <alignment horizontal="center" vertical="top"/>
    </xf>
    <xf numFmtId="0" fontId="3" fillId="6" borderId="28" xfId="0" applyFont="1" applyFill="1" applyBorder="1" applyAlignment="1">
      <alignment vertical="top"/>
    </xf>
    <xf numFmtId="0" fontId="16" fillId="0" borderId="0" xfId="0" applyFont="1" applyBorder="1" applyAlignment="1">
      <alignment vertical="top"/>
    </xf>
    <xf numFmtId="49" fontId="5" fillId="6" borderId="2" xfId="0" applyNumberFormat="1" applyFont="1" applyFill="1" applyBorder="1" applyAlignment="1">
      <alignment horizontal="center" vertical="top" wrapText="1"/>
    </xf>
    <xf numFmtId="0" fontId="5" fillId="6" borderId="34" xfId="0" applyFont="1" applyFill="1" applyBorder="1" applyAlignment="1">
      <alignment horizontal="center" vertical="top" wrapText="1"/>
    </xf>
    <xf numFmtId="3" fontId="3" fillId="0" borderId="2" xfId="0" applyNumberFormat="1" applyFont="1" applyFill="1" applyBorder="1" applyAlignment="1">
      <alignment horizontal="center" vertical="top"/>
    </xf>
    <xf numFmtId="3" fontId="3" fillId="0" borderId="15" xfId="0" applyNumberFormat="1" applyFont="1" applyFill="1" applyBorder="1" applyAlignment="1">
      <alignment horizontal="center" vertical="top"/>
    </xf>
    <xf numFmtId="165" fontId="3" fillId="6" borderId="98" xfId="0" applyNumberFormat="1" applyFont="1" applyFill="1" applyBorder="1" applyAlignment="1">
      <alignment horizontal="center" vertical="top"/>
    </xf>
    <xf numFmtId="0" fontId="3" fillId="6" borderId="89" xfId="0" applyFont="1" applyFill="1" applyBorder="1" applyAlignment="1">
      <alignment horizontal="left" vertical="top" wrapText="1"/>
    </xf>
    <xf numFmtId="165" fontId="3" fillId="6" borderId="49" xfId="0" applyNumberFormat="1" applyFont="1" applyFill="1" applyBorder="1" applyAlignment="1">
      <alignment horizontal="center" vertical="top"/>
    </xf>
    <xf numFmtId="0" fontId="3" fillId="6" borderId="76" xfId="0" applyFont="1" applyFill="1" applyBorder="1" applyAlignment="1">
      <alignment horizontal="left" vertical="top" wrapText="1"/>
    </xf>
    <xf numFmtId="3" fontId="11" fillId="6" borderId="36" xfId="0" applyNumberFormat="1" applyFont="1" applyFill="1" applyBorder="1" applyAlignment="1">
      <alignment horizontal="center" vertical="top"/>
    </xf>
    <xf numFmtId="165" fontId="11" fillId="6" borderId="8" xfId="0" applyNumberFormat="1" applyFont="1" applyFill="1" applyBorder="1" applyAlignment="1">
      <alignment horizontal="center" vertical="top"/>
    </xf>
    <xf numFmtId="3" fontId="3" fillId="6" borderId="9" xfId="0" applyNumberFormat="1" applyFont="1" applyFill="1" applyBorder="1" applyAlignment="1">
      <alignment vertical="top" wrapText="1"/>
    </xf>
    <xf numFmtId="0" fontId="3" fillId="6" borderId="46" xfId="0" applyNumberFormat="1" applyFont="1" applyFill="1" applyBorder="1" applyAlignment="1">
      <alignment horizontal="center" vertical="top" wrapText="1"/>
    </xf>
    <xf numFmtId="0" fontId="3" fillId="6" borderId="5" xfId="0" applyFont="1" applyFill="1" applyBorder="1" applyAlignment="1">
      <alignment horizontal="center" vertical="top" wrapText="1"/>
    </xf>
    <xf numFmtId="0" fontId="3" fillId="6" borderId="96" xfId="1" applyFont="1" applyFill="1" applyBorder="1" applyAlignment="1">
      <alignment horizontal="left" vertical="top" wrapText="1"/>
    </xf>
    <xf numFmtId="3" fontId="3" fillId="6" borderId="100" xfId="1" applyNumberFormat="1" applyFont="1" applyFill="1" applyBorder="1" applyAlignment="1">
      <alignment horizontal="center" vertical="top" wrapText="1"/>
    </xf>
    <xf numFmtId="0" fontId="3" fillId="6" borderId="27" xfId="1" applyFont="1" applyFill="1" applyBorder="1" applyAlignment="1">
      <alignment horizontal="left" vertical="top" wrapText="1"/>
    </xf>
    <xf numFmtId="165" fontId="5" fillId="4" borderId="19" xfId="0" applyNumberFormat="1" applyFont="1" applyFill="1" applyBorder="1" applyAlignment="1">
      <alignment horizontal="center" vertical="top" wrapText="1"/>
    </xf>
    <xf numFmtId="0" fontId="5" fillId="6" borderId="14" xfId="0" applyFont="1" applyFill="1" applyBorder="1" applyAlignment="1">
      <alignment horizontal="center" vertical="center"/>
    </xf>
    <xf numFmtId="165" fontId="3" fillId="6" borderId="51" xfId="0" applyNumberFormat="1" applyFont="1" applyFill="1" applyBorder="1" applyAlignment="1">
      <alignment horizontal="right" vertical="top"/>
    </xf>
    <xf numFmtId="165" fontId="3" fillId="6" borderId="48" xfId="0" applyNumberFormat="1" applyFont="1" applyFill="1" applyBorder="1" applyAlignment="1">
      <alignment horizontal="right" vertical="top"/>
    </xf>
    <xf numFmtId="0" fontId="3" fillId="0" borderId="73" xfId="0" applyFont="1" applyBorder="1" applyAlignment="1">
      <alignment vertical="top" wrapText="1"/>
    </xf>
    <xf numFmtId="3" fontId="3" fillId="6" borderId="89" xfId="0" applyNumberFormat="1" applyFont="1" applyFill="1" applyBorder="1" applyAlignment="1">
      <alignment horizontal="center" vertical="top" wrapText="1"/>
    </xf>
    <xf numFmtId="0" fontId="21" fillId="6" borderId="87" xfId="0" applyFont="1" applyFill="1" applyBorder="1" applyAlignment="1">
      <alignment vertical="top" wrapText="1"/>
    </xf>
    <xf numFmtId="0" fontId="3" fillId="6" borderId="38" xfId="0" applyFont="1" applyFill="1" applyBorder="1" applyAlignment="1">
      <alignment vertical="top" wrapText="1"/>
    </xf>
    <xf numFmtId="0" fontId="21" fillId="6" borderId="36" xfId="0" applyFont="1" applyFill="1" applyBorder="1" applyAlignment="1">
      <alignment vertical="top" wrapText="1"/>
    </xf>
    <xf numFmtId="1" fontId="3" fillId="6" borderId="103" xfId="0" applyNumberFormat="1" applyFont="1" applyFill="1" applyBorder="1" applyAlignment="1">
      <alignment horizontal="center" vertical="top" wrapText="1"/>
    </xf>
    <xf numFmtId="3" fontId="3" fillId="0" borderId="0" xfId="0" applyNumberFormat="1" applyFont="1" applyAlignment="1">
      <alignment horizontal="left" vertical="top" wrapText="1"/>
    </xf>
    <xf numFmtId="165" fontId="3" fillId="0" borderId="5" xfId="0" applyNumberFormat="1" applyFont="1" applyFill="1" applyBorder="1" applyAlignment="1">
      <alignment horizontal="center" vertical="top"/>
    </xf>
    <xf numFmtId="0" fontId="21" fillId="6" borderId="27" xfId="0" applyFont="1" applyFill="1" applyBorder="1" applyAlignment="1">
      <alignment horizontal="left" vertical="top" wrapText="1"/>
    </xf>
    <xf numFmtId="165" fontId="3" fillId="0" borderId="49" xfId="0" applyNumberFormat="1" applyFont="1" applyFill="1" applyBorder="1" applyAlignment="1">
      <alignment horizontal="center" vertical="top"/>
    </xf>
    <xf numFmtId="0" fontId="3" fillId="6" borderId="87" xfId="0" applyFont="1" applyFill="1" applyBorder="1" applyAlignment="1">
      <alignment horizontal="left" vertical="top" wrapText="1"/>
    </xf>
    <xf numFmtId="0" fontId="3" fillId="0" borderId="35" xfId="0" applyFont="1" applyFill="1" applyBorder="1" applyAlignment="1">
      <alignment horizontal="center" vertical="top" wrapText="1"/>
    </xf>
    <xf numFmtId="0" fontId="25" fillId="6" borderId="96" xfId="0" applyFont="1" applyFill="1" applyBorder="1" applyAlignment="1">
      <alignment vertical="top" wrapText="1"/>
    </xf>
    <xf numFmtId="1" fontId="21" fillId="6" borderId="85" xfId="0" applyNumberFormat="1" applyFont="1" applyFill="1" applyBorder="1" applyAlignment="1">
      <alignment horizontal="center" vertical="top" wrapText="1"/>
    </xf>
    <xf numFmtId="3" fontId="3" fillId="6" borderId="47" xfId="0" applyNumberFormat="1" applyFont="1" applyFill="1" applyBorder="1" applyAlignment="1">
      <alignment horizontal="center" vertical="top"/>
    </xf>
    <xf numFmtId="3" fontId="3" fillId="6" borderId="17" xfId="0" applyNumberFormat="1" applyFont="1" applyFill="1" applyBorder="1" applyAlignment="1">
      <alignment horizontal="center" vertical="top"/>
    </xf>
    <xf numFmtId="0" fontId="3" fillId="6" borderId="0" xfId="0" applyFont="1" applyFill="1" applyBorder="1" applyAlignment="1">
      <alignment horizontal="center" vertical="center" textRotation="90" wrapText="1"/>
    </xf>
    <xf numFmtId="165" fontId="3" fillId="0" borderId="14" xfId="0" applyNumberFormat="1" applyFont="1" applyFill="1" applyBorder="1" applyAlignment="1">
      <alignment horizontal="center" vertical="top" wrapText="1"/>
    </xf>
    <xf numFmtId="0" fontId="3" fillId="6" borderId="37" xfId="0" applyFont="1" applyFill="1" applyBorder="1" applyAlignment="1">
      <alignment horizontal="center" vertical="center" textRotation="90" wrapText="1"/>
    </xf>
    <xf numFmtId="165" fontId="3" fillId="0" borderId="24" xfId="0" applyNumberFormat="1" applyFont="1" applyFill="1" applyBorder="1" applyAlignment="1">
      <alignment horizontal="center" vertical="top" wrapText="1"/>
    </xf>
    <xf numFmtId="165" fontId="3" fillId="0" borderId="37" xfId="0" applyNumberFormat="1" applyFont="1" applyFill="1" applyBorder="1" applyAlignment="1">
      <alignment horizontal="center" vertical="top" wrapText="1"/>
    </xf>
    <xf numFmtId="0" fontId="9" fillId="6" borderId="0" xfId="0" applyFont="1" applyFill="1" applyBorder="1" applyAlignment="1">
      <alignment vertical="top" wrapText="1"/>
    </xf>
    <xf numFmtId="49" fontId="3" fillId="6" borderId="44" xfId="0" applyNumberFormat="1" applyFont="1" applyFill="1" applyBorder="1" applyAlignment="1">
      <alignment horizontal="center" vertical="top" wrapText="1"/>
    </xf>
    <xf numFmtId="0" fontId="3" fillId="0" borderId="7" xfId="0" applyFont="1" applyFill="1" applyBorder="1" applyAlignment="1">
      <alignment vertical="top" wrapText="1"/>
    </xf>
    <xf numFmtId="0" fontId="21" fillId="6" borderId="22" xfId="0" applyFont="1" applyFill="1" applyBorder="1" applyAlignment="1">
      <alignment horizontal="left" vertical="top" wrapText="1"/>
    </xf>
    <xf numFmtId="0" fontId="1" fillId="0" borderId="22" xfId="0" applyFont="1" applyBorder="1" applyAlignment="1">
      <alignment horizontal="center" vertical="center" textRotation="90" wrapText="1"/>
    </xf>
    <xf numFmtId="0" fontId="27" fillId="6" borderId="14" xfId="0" applyFont="1" applyFill="1" applyBorder="1" applyAlignment="1">
      <alignment horizontal="left" vertical="top" wrapText="1"/>
    </xf>
    <xf numFmtId="165" fontId="3" fillId="6" borderId="38" xfId="1" applyNumberFormat="1" applyFont="1" applyFill="1" applyBorder="1" applyAlignment="1">
      <alignment horizontal="center" vertical="top" wrapText="1"/>
    </xf>
    <xf numFmtId="165" fontId="3" fillId="6" borderId="1" xfId="1" applyNumberFormat="1" applyFont="1" applyFill="1" applyBorder="1" applyAlignment="1">
      <alignment horizontal="center" vertical="top" wrapText="1"/>
    </xf>
    <xf numFmtId="0" fontId="3" fillId="6" borderId="35" xfId="0" applyFont="1" applyFill="1" applyBorder="1" applyAlignment="1">
      <alignment horizontal="center" vertical="center" textRotation="90"/>
    </xf>
    <xf numFmtId="0" fontId="2" fillId="6" borderId="30" xfId="0" applyFont="1" applyFill="1" applyBorder="1" applyAlignment="1">
      <alignment horizontal="center" vertical="center" textRotation="90"/>
    </xf>
    <xf numFmtId="0" fontId="3" fillId="6" borderId="81" xfId="1" applyFont="1" applyFill="1" applyBorder="1" applyAlignment="1">
      <alignment vertical="top" wrapText="1"/>
    </xf>
    <xf numFmtId="0" fontId="25" fillId="6" borderId="86" xfId="0" applyFont="1" applyFill="1" applyBorder="1" applyAlignment="1">
      <alignment horizontal="left" vertical="top" wrapText="1"/>
    </xf>
    <xf numFmtId="3" fontId="3" fillId="6" borderId="97" xfId="0" applyNumberFormat="1" applyFont="1" applyFill="1" applyBorder="1" applyAlignment="1">
      <alignment horizontal="center" vertical="top" wrapText="1"/>
    </xf>
    <xf numFmtId="0" fontId="3" fillId="2" borderId="41" xfId="0" applyFont="1" applyFill="1" applyBorder="1" applyAlignment="1">
      <alignment horizontal="left" vertical="top" wrapText="1"/>
    </xf>
    <xf numFmtId="165" fontId="3" fillId="2" borderId="38" xfId="0" applyNumberFormat="1" applyFont="1" applyFill="1" applyBorder="1" applyAlignment="1">
      <alignment horizontal="center" vertical="top"/>
    </xf>
    <xf numFmtId="165" fontId="3" fillId="2" borderId="44" xfId="0" applyNumberFormat="1" applyFont="1" applyFill="1" applyBorder="1" applyAlignment="1">
      <alignment horizontal="center" vertical="top"/>
    </xf>
    <xf numFmtId="1" fontId="3" fillId="6" borderId="99" xfId="1" applyNumberFormat="1" applyFont="1" applyFill="1" applyBorder="1" applyAlignment="1">
      <alignment horizontal="center" vertical="top" wrapText="1"/>
    </xf>
    <xf numFmtId="165" fontId="3" fillId="6" borderId="89" xfId="0" applyNumberFormat="1" applyFont="1" applyFill="1" applyBorder="1" applyAlignment="1">
      <alignment horizontal="center" vertical="top" wrapText="1"/>
    </xf>
    <xf numFmtId="165" fontId="3" fillId="6" borderId="97" xfId="0" applyNumberFormat="1" applyFont="1" applyFill="1" applyBorder="1" applyAlignment="1">
      <alignment horizontal="center" vertical="top" wrapText="1"/>
    </xf>
    <xf numFmtId="0" fontId="30" fillId="6" borderId="30" xfId="0" applyFont="1" applyFill="1" applyBorder="1" applyAlignment="1">
      <alignment horizontal="center" vertical="center" textRotation="90" wrapText="1"/>
    </xf>
    <xf numFmtId="0" fontId="0" fillId="6" borderId="22" xfId="0" applyFill="1" applyBorder="1" applyAlignment="1"/>
    <xf numFmtId="0" fontId="3" fillId="0" borderId="95" xfId="0" applyFont="1" applyFill="1" applyBorder="1" applyAlignment="1">
      <alignment horizontal="center" vertical="center"/>
    </xf>
    <xf numFmtId="0" fontId="3" fillId="0" borderId="9" xfId="0" applyFont="1" applyBorder="1" applyAlignment="1">
      <alignment vertical="top"/>
    </xf>
    <xf numFmtId="165" fontId="3" fillId="2" borderId="61" xfId="0" applyNumberFormat="1" applyFont="1" applyFill="1" applyBorder="1" applyAlignment="1">
      <alignment horizontal="center" vertical="top"/>
    </xf>
    <xf numFmtId="3" fontId="15" fillId="0" borderId="16" xfId="0" applyNumberFormat="1" applyFont="1" applyBorder="1" applyAlignment="1">
      <alignment horizontal="center" vertical="top"/>
    </xf>
    <xf numFmtId="0" fontId="3" fillId="6" borderId="89" xfId="0" applyFont="1" applyFill="1" applyBorder="1" applyAlignment="1">
      <alignment vertical="top"/>
    </xf>
    <xf numFmtId="0" fontId="3" fillId="12" borderId="38" xfId="0" applyFont="1" applyFill="1" applyBorder="1" applyAlignment="1">
      <alignment horizontal="center" vertical="top" wrapText="1"/>
    </xf>
    <xf numFmtId="49" fontId="5" fillId="6" borderId="89" xfId="0" applyNumberFormat="1" applyFont="1" applyFill="1" applyBorder="1" applyAlignment="1">
      <alignment horizontal="center" vertical="top"/>
    </xf>
    <xf numFmtId="0" fontId="3" fillId="6" borderId="89" xfId="0" applyFont="1" applyFill="1" applyBorder="1" applyAlignment="1">
      <alignment horizontal="center" vertical="center" textRotation="90" wrapText="1"/>
    </xf>
    <xf numFmtId="0" fontId="3" fillId="6" borderId="93" xfId="0" applyFont="1" applyFill="1" applyBorder="1" applyAlignment="1">
      <alignment horizontal="center" vertical="top"/>
    </xf>
    <xf numFmtId="49" fontId="5" fillId="6" borderId="93" xfId="0" applyNumberFormat="1" applyFont="1" applyFill="1" applyBorder="1" applyAlignment="1">
      <alignment horizontal="center" vertical="top"/>
    </xf>
    <xf numFmtId="0" fontId="16" fillId="6" borderId="27" xfId="0" applyFont="1" applyFill="1" applyBorder="1" applyAlignment="1">
      <alignment horizontal="left" vertical="top" wrapText="1"/>
    </xf>
    <xf numFmtId="3" fontId="15" fillId="8" borderId="31" xfId="0" applyNumberFormat="1" applyFont="1" applyFill="1" applyBorder="1" applyAlignment="1">
      <alignment horizontal="center" vertical="top"/>
    </xf>
    <xf numFmtId="0" fontId="3" fillId="6" borderId="63" xfId="0" applyFont="1" applyFill="1" applyBorder="1" applyAlignment="1">
      <alignment horizontal="center" vertical="center" textRotation="90" wrapText="1"/>
    </xf>
    <xf numFmtId="0" fontId="5" fillId="6" borderId="25" xfId="0" applyFont="1" applyFill="1" applyBorder="1" applyAlignment="1">
      <alignment horizontal="center" vertical="top"/>
    </xf>
    <xf numFmtId="0" fontId="3" fillId="6" borderId="42" xfId="0" applyFont="1" applyFill="1" applyBorder="1" applyAlignment="1">
      <alignment horizontal="center" vertical="top"/>
    </xf>
    <xf numFmtId="0" fontId="3" fillId="6" borderId="67" xfId="0" applyFont="1" applyFill="1" applyBorder="1" applyAlignment="1">
      <alignment vertical="center" wrapText="1"/>
    </xf>
    <xf numFmtId="0" fontId="5" fillId="6" borderId="29" xfId="0" applyFont="1" applyFill="1" applyBorder="1" applyAlignment="1">
      <alignment horizontal="center" vertical="top"/>
    </xf>
    <xf numFmtId="0" fontId="3" fillId="6" borderId="36" xfId="0" applyFont="1" applyFill="1" applyBorder="1" applyAlignment="1">
      <alignment vertical="center" wrapText="1"/>
    </xf>
    <xf numFmtId="3" fontId="3" fillId="6" borderId="90" xfId="1" applyNumberFormat="1" applyFont="1" applyFill="1" applyBorder="1" applyAlignment="1">
      <alignment horizontal="center" vertical="top" wrapText="1"/>
    </xf>
    <xf numFmtId="0" fontId="3" fillId="6" borderId="8" xfId="0" applyFont="1" applyFill="1" applyBorder="1" applyAlignment="1">
      <alignment horizontal="center" vertical="center" wrapText="1"/>
    </xf>
    <xf numFmtId="0" fontId="21" fillId="6" borderId="9" xfId="0" applyFont="1" applyFill="1" applyBorder="1" applyAlignment="1">
      <alignment vertical="top" wrapText="1"/>
    </xf>
    <xf numFmtId="0" fontId="21" fillId="6" borderId="9" xfId="1" applyFont="1" applyFill="1" applyBorder="1" applyAlignment="1">
      <alignment vertical="top" wrapText="1"/>
    </xf>
    <xf numFmtId="165" fontId="3" fillId="6" borderId="9" xfId="0" applyNumberFormat="1" applyFont="1" applyFill="1" applyBorder="1" applyAlignment="1">
      <alignment vertical="top" wrapText="1"/>
    </xf>
    <xf numFmtId="165" fontId="3" fillId="6" borderId="46" xfId="0" applyNumberFormat="1" applyFont="1" applyFill="1" applyBorder="1" applyAlignment="1">
      <alignment horizontal="center" vertical="top" wrapText="1"/>
    </xf>
    <xf numFmtId="165" fontId="3" fillId="6" borderId="99" xfId="0" applyNumberFormat="1" applyFont="1" applyFill="1" applyBorder="1" applyAlignment="1">
      <alignment horizontal="center" vertical="top" wrapText="1"/>
    </xf>
    <xf numFmtId="165" fontId="3" fillId="6" borderId="75" xfId="0" applyNumberFormat="1" applyFont="1" applyFill="1" applyBorder="1" applyAlignment="1">
      <alignment horizontal="center" vertical="top" wrapText="1"/>
    </xf>
    <xf numFmtId="165" fontId="3" fillId="6" borderId="79" xfId="0" applyNumberFormat="1" applyFont="1" applyFill="1" applyBorder="1" applyAlignment="1">
      <alignment horizontal="center" vertical="top" wrapText="1"/>
    </xf>
    <xf numFmtId="165" fontId="3" fillId="13" borderId="8" xfId="3"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44" xfId="0" applyFont="1" applyFill="1" applyBorder="1" applyAlignment="1">
      <alignment horizontal="left" vertical="top" wrapText="1"/>
    </xf>
    <xf numFmtId="0" fontId="3" fillId="6" borderId="9" xfId="1" applyFont="1" applyFill="1" applyBorder="1" applyAlignment="1">
      <alignment vertical="top" wrapText="1"/>
    </xf>
    <xf numFmtId="0" fontId="3" fillId="6" borderId="14" xfId="0" applyFont="1" applyFill="1" applyBorder="1" applyAlignment="1">
      <alignment horizontal="left" vertical="top" wrapText="1"/>
    </xf>
    <xf numFmtId="0" fontId="3" fillId="6" borderId="14" xfId="0" applyFont="1" applyFill="1" applyBorder="1" applyAlignment="1">
      <alignment horizontal="center" vertical="center" textRotation="90" wrapText="1"/>
    </xf>
    <xf numFmtId="0" fontId="2" fillId="6" borderId="14" xfId="0" applyFont="1" applyFill="1" applyBorder="1" applyAlignment="1">
      <alignment horizontal="center" vertical="center" textRotation="90" wrapText="1"/>
    </xf>
    <xf numFmtId="49" fontId="5" fillId="10" borderId="9" xfId="0" applyNumberFormat="1" applyFont="1" applyFill="1" applyBorder="1" applyAlignment="1">
      <alignment horizontal="center" vertical="top"/>
    </xf>
    <xf numFmtId="49" fontId="5" fillId="3" borderId="14" xfId="0" applyNumberFormat="1" applyFont="1" applyFill="1" applyBorder="1" applyAlignment="1">
      <alignment horizontal="center" vertical="top"/>
    </xf>
    <xf numFmtId="49" fontId="5" fillId="6" borderId="14" xfId="0" applyNumberFormat="1" applyFont="1" applyFill="1" applyBorder="1" applyAlignment="1">
      <alignment horizontal="center" vertical="top"/>
    </xf>
    <xf numFmtId="0" fontId="3" fillId="6" borderId="18" xfId="0" applyFont="1" applyFill="1" applyBorder="1" applyAlignment="1">
      <alignment horizontal="center" vertical="center" textRotation="90" wrapText="1"/>
    </xf>
    <xf numFmtId="0" fontId="3" fillId="0" borderId="9" xfId="0" applyFont="1" applyFill="1" applyBorder="1" applyAlignment="1">
      <alignment horizontal="left" vertical="top" wrapText="1"/>
    </xf>
    <xf numFmtId="0" fontId="3" fillId="6" borderId="30" xfId="0" applyFont="1" applyFill="1" applyBorder="1" applyAlignment="1">
      <alignment horizontal="center" vertical="center" textRotation="90" wrapText="1"/>
    </xf>
    <xf numFmtId="49" fontId="5" fillId="3" borderId="46" xfId="0" applyNumberFormat="1" applyFont="1" applyFill="1" applyBorder="1" applyAlignment="1">
      <alignment horizontal="center" vertical="top"/>
    </xf>
    <xf numFmtId="0" fontId="3" fillId="6" borderId="47" xfId="0" applyFont="1" applyFill="1" applyBorder="1" applyAlignment="1">
      <alignment horizontal="center" vertical="center" textRotation="90" wrapText="1"/>
    </xf>
    <xf numFmtId="0" fontId="3" fillId="6" borderId="35" xfId="0" applyFont="1" applyFill="1" applyBorder="1" applyAlignment="1">
      <alignment horizontal="center" vertical="center" textRotation="90" wrapText="1"/>
    </xf>
    <xf numFmtId="0" fontId="3" fillId="6" borderId="17" xfId="0" applyFont="1" applyFill="1" applyBorder="1" applyAlignment="1">
      <alignment horizontal="center" vertical="center" textRotation="90" wrapText="1"/>
    </xf>
    <xf numFmtId="0" fontId="0" fillId="6" borderId="14" xfId="0" applyFill="1" applyBorder="1" applyAlignment="1">
      <alignment horizontal="left" vertical="top" wrapText="1"/>
    </xf>
    <xf numFmtId="49" fontId="5" fillId="10" borderId="7"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43" xfId="0" applyNumberFormat="1" applyFont="1" applyFill="1" applyBorder="1" applyAlignment="1">
      <alignment horizontal="center" vertical="top"/>
    </xf>
    <xf numFmtId="49" fontId="5" fillId="6" borderId="24" xfId="0" applyNumberFormat="1" applyFont="1" applyFill="1" applyBorder="1" applyAlignment="1">
      <alignment horizontal="center" vertical="top"/>
    </xf>
    <xf numFmtId="165" fontId="3" fillId="0" borderId="36" xfId="0" applyNumberFormat="1" applyFont="1" applyFill="1" applyBorder="1" applyAlignment="1">
      <alignment horizontal="center" vertical="top"/>
    </xf>
    <xf numFmtId="165" fontId="3" fillId="6" borderId="36" xfId="0" applyNumberFormat="1" applyFont="1" applyFill="1" applyBorder="1" applyAlignment="1">
      <alignment horizontal="center" vertical="top"/>
    </xf>
    <xf numFmtId="165" fontId="3" fillId="0" borderId="14" xfId="0" applyNumberFormat="1" applyFont="1" applyFill="1" applyBorder="1" applyAlignment="1">
      <alignment horizontal="center" vertical="top"/>
    </xf>
    <xf numFmtId="0" fontId="5" fillId="6" borderId="24" xfId="0" applyFont="1" applyFill="1" applyBorder="1" applyAlignment="1">
      <alignment horizontal="left" vertical="top" wrapText="1"/>
    </xf>
    <xf numFmtId="0" fontId="5" fillId="6" borderId="14" xfId="0" applyFont="1" applyFill="1" applyBorder="1" applyAlignment="1">
      <alignment horizontal="left" vertical="top" wrapText="1"/>
    </xf>
    <xf numFmtId="49" fontId="5" fillId="6" borderId="14" xfId="0" applyNumberFormat="1" applyFont="1" applyFill="1" applyBorder="1" applyAlignment="1">
      <alignment horizontal="center" vertical="top" wrapText="1"/>
    </xf>
    <xf numFmtId="0" fontId="5" fillId="6" borderId="24" xfId="0" applyFont="1" applyFill="1" applyBorder="1" applyAlignment="1">
      <alignment vertical="top" wrapText="1"/>
    </xf>
    <xf numFmtId="0" fontId="3" fillId="6" borderId="14" xfId="0" applyFont="1" applyFill="1" applyBorder="1" applyAlignment="1">
      <alignment vertical="top" wrapText="1"/>
    </xf>
    <xf numFmtId="0" fontId="7" fillId="9" borderId="59" xfId="0" applyFont="1" applyFill="1" applyBorder="1" applyAlignment="1">
      <alignment horizontal="left" vertical="top" wrapText="1"/>
    </xf>
    <xf numFmtId="0" fontId="3" fillId="6" borderId="86" xfId="0" applyFont="1" applyFill="1" applyBorder="1" applyAlignment="1">
      <alignment vertical="top" wrapText="1"/>
    </xf>
    <xf numFmtId="0" fontId="5" fillId="0" borderId="0" xfId="0" applyNumberFormat="1" applyFont="1" applyAlignment="1">
      <alignment horizontal="center" vertical="top"/>
    </xf>
    <xf numFmtId="49" fontId="5" fillId="0" borderId="0" xfId="0" applyNumberFormat="1" applyFont="1" applyFill="1" applyBorder="1" applyAlignment="1">
      <alignment horizontal="center" vertical="top" wrapText="1"/>
    </xf>
    <xf numFmtId="0" fontId="7" fillId="6" borderId="14" xfId="0" applyFont="1" applyFill="1" applyBorder="1" applyAlignment="1">
      <alignment vertical="top" wrapText="1"/>
    </xf>
    <xf numFmtId="0" fontId="3" fillId="6" borderId="41" xfId="0" applyFont="1" applyFill="1" applyBorder="1" applyAlignment="1">
      <alignment vertical="top" wrapText="1"/>
    </xf>
    <xf numFmtId="0" fontId="3" fillId="6" borderId="9" xfId="0" applyFont="1" applyFill="1" applyBorder="1" applyAlignment="1">
      <alignment vertical="top" wrapText="1"/>
    </xf>
    <xf numFmtId="165" fontId="3" fillId="6" borderId="14"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3" fontId="3" fillId="6" borderId="0" xfId="0" applyNumberFormat="1" applyFont="1" applyFill="1" applyBorder="1" applyAlignment="1">
      <alignment horizontal="center" vertical="top" wrapText="1"/>
    </xf>
    <xf numFmtId="0" fontId="3" fillId="6" borderId="36" xfId="0" applyFont="1" applyFill="1" applyBorder="1" applyAlignment="1">
      <alignment vertical="top" wrapText="1"/>
    </xf>
    <xf numFmtId="0" fontId="3" fillId="6" borderId="27" xfId="0" applyFont="1" applyFill="1" applyBorder="1" applyAlignment="1">
      <alignment horizontal="left" vertical="top" wrapText="1"/>
    </xf>
    <xf numFmtId="0" fontId="3" fillId="6" borderId="41" xfId="1" applyFont="1" applyFill="1" applyBorder="1" applyAlignment="1">
      <alignment vertical="top" wrapText="1"/>
    </xf>
    <xf numFmtId="0" fontId="3" fillId="6" borderId="46" xfId="0" applyFont="1" applyFill="1" applyBorder="1" applyAlignment="1">
      <alignment horizontal="center" vertical="center" textRotation="90" wrapText="1"/>
    </xf>
    <xf numFmtId="49" fontId="5" fillId="6" borderId="46" xfId="0" applyNumberFormat="1" applyFont="1" applyFill="1" applyBorder="1" applyAlignment="1">
      <alignment horizontal="center" vertical="top"/>
    </xf>
    <xf numFmtId="0" fontId="3" fillId="6" borderId="9" xfId="1" applyFont="1" applyFill="1" applyBorder="1" applyAlignment="1">
      <alignment horizontal="left" vertical="top" wrapText="1"/>
    </xf>
    <xf numFmtId="0" fontId="5" fillId="9" borderId="59" xfId="0" applyFont="1" applyFill="1" applyBorder="1" applyAlignment="1">
      <alignment horizontal="left" vertical="top" wrapText="1"/>
    </xf>
    <xf numFmtId="0" fontId="3" fillId="6" borderId="9" xfId="0" applyFont="1" applyFill="1" applyBorder="1" applyAlignment="1">
      <alignment horizontal="left" vertical="top" wrapText="1"/>
    </xf>
    <xf numFmtId="0" fontId="3" fillId="6" borderId="41" xfId="0" applyFont="1" applyFill="1" applyBorder="1" applyAlignment="1">
      <alignment horizontal="left" vertical="top" wrapText="1"/>
    </xf>
    <xf numFmtId="0" fontId="3" fillId="6" borderId="87" xfId="0" applyFont="1" applyFill="1" applyBorder="1" applyAlignment="1">
      <alignment vertical="top" wrapText="1"/>
    </xf>
    <xf numFmtId="0" fontId="3" fillId="6" borderId="36" xfId="0" applyFont="1" applyFill="1" applyBorder="1" applyAlignment="1">
      <alignment horizontal="left" vertical="top" wrapText="1"/>
    </xf>
    <xf numFmtId="0" fontId="3" fillId="6" borderId="8" xfId="0" applyFont="1" applyFill="1" applyBorder="1" applyAlignment="1">
      <alignment horizontal="center" vertical="top" wrapText="1"/>
    </xf>
    <xf numFmtId="3" fontId="3" fillId="0" borderId="28" xfId="1" applyNumberFormat="1" applyFont="1" applyFill="1" applyBorder="1" applyAlignment="1">
      <alignment horizontal="center" vertical="top"/>
    </xf>
    <xf numFmtId="3" fontId="3" fillId="6" borderId="75" xfId="1" applyNumberFormat="1" applyFont="1" applyFill="1" applyBorder="1" applyAlignment="1">
      <alignment horizontal="center" vertical="top" wrapText="1"/>
    </xf>
    <xf numFmtId="3" fontId="3" fillId="6" borderId="28" xfId="1" applyNumberFormat="1" applyFont="1" applyFill="1" applyBorder="1" applyAlignment="1">
      <alignment horizontal="center" vertical="top" wrapText="1"/>
    </xf>
    <xf numFmtId="3" fontId="34" fillId="6" borderId="16" xfId="0" applyNumberFormat="1" applyFont="1" applyFill="1" applyBorder="1" applyAlignment="1">
      <alignment horizontal="center" vertical="top"/>
    </xf>
    <xf numFmtId="165" fontId="3" fillId="6" borderId="51" xfId="1" applyNumberFormat="1" applyFont="1" applyFill="1" applyBorder="1" applyAlignment="1">
      <alignment horizontal="center" vertical="top"/>
    </xf>
    <xf numFmtId="165" fontId="28" fillId="6" borderId="14" xfId="0" applyNumberFormat="1" applyFont="1" applyFill="1" applyBorder="1" applyAlignment="1">
      <alignment horizontal="center" vertical="top"/>
    </xf>
    <xf numFmtId="165" fontId="3" fillId="0" borderId="35" xfId="0" applyNumberFormat="1" applyFont="1" applyFill="1" applyBorder="1" applyAlignment="1">
      <alignment horizontal="center" vertical="top"/>
    </xf>
    <xf numFmtId="165" fontId="3" fillId="6" borderId="38" xfId="0" applyNumberFormat="1" applyFont="1" applyFill="1" applyBorder="1" applyAlignment="1">
      <alignment horizontal="right" vertical="top"/>
    </xf>
    <xf numFmtId="165" fontId="28" fillId="6" borderId="0" xfId="0" applyNumberFormat="1" applyFont="1" applyFill="1" applyBorder="1" applyAlignment="1">
      <alignment horizontal="center" vertical="top"/>
    </xf>
    <xf numFmtId="165" fontId="3" fillId="6" borderId="18" xfId="0" applyNumberFormat="1" applyFont="1" applyFill="1" applyBorder="1" applyAlignment="1">
      <alignment horizontal="right" vertical="top"/>
    </xf>
    <xf numFmtId="0" fontId="3" fillId="6" borderId="51" xfId="0" applyFont="1" applyFill="1" applyBorder="1" applyAlignment="1">
      <alignment horizontal="center" vertical="top" wrapText="1"/>
    </xf>
    <xf numFmtId="165" fontId="3" fillId="0" borderId="43" xfId="0" applyNumberFormat="1" applyFont="1" applyFill="1" applyBorder="1" applyAlignment="1">
      <alignment horizontal="center" vertical="top" wrapText="1"/>
    </xf>
    <xf numFmtId="165" fontId="3" fillId="0" borderId="46" xfId="0" applyNumberFormat="1" applyFont="1" applyFill="1" applyBorder="1" applyAlignment="1">
      <alignment horizontal="center" vertical="top" wrapText="1"/>
    </xf>
    <xf numFmtId="3" fontId="3" fillId="6" borderId="75" xfId="1" applyNumberFormat="1" applyFont="1" applyFill="1" applyBorder="1" applyAlignment="1">
      <alignment horizontal="center" vertical="top"/>
    </xf>
    <xf numFmtId="3" fontId="3" fillId="6" borderId="46" xfId="1" applyNumberFormat="1" applyFont="1" applyFill="1" applyBorder="1" applyAlignment="1">
      <alignment horizontal="center" vertical="top"/>
    </xf>
    <xf numFmtId="3" fontId="3" fillId="6" borderId="93" xfId="1" applyNumberFormat="1" applyFont="1" applyFill="1" applyBorder="1" applyAlignment="1">
      <alignment horizontal="center" vertical="top"/>
    </xf>
    <xf numFmtId="3" fontId="3" fillId="6" borderId="85" xfId="1" applyNumberFormat="1" applyFont="1" applyFill="1" applyBorder="1" applyAlignment="1">
      <alignment horizontal="center" vertical="top"/>
    </xf>
    <xf numFmtId="165" fontId="3" fillId="6" borderId="44" xfId="1" applyNumberFormat="1" applyFont="1" applyFill="1" applyBorder="1" applyAlignment="1">
      <alignment horizontal="center" vertical="top" wrapText="1"/>
    </xf>
    <xf numFmtId="1" fontId="3" fillId="6" borderId="75" xfId="1" applyNumberFormat="1" applyFont="1" applyFill="1" applyBorder="1" applyAlignment="1">
      <alignment horizontal="center" vertical="top" wrapText="1"/>
    </xf>
    <xf numFmtId="3" fontId="21" fillId="6" borderId="75" xfId="1" applyNumberFormat="1" applyFont="1" applyFill="1" applyBorder="1" applyAlignment="1">
      <alignment horizontal="center" vertical="top" wrapText="1"/>
    </xf>
    <xf numFmtId="3" fontId="3" fillId="6" borderId="46" xfId="1" applyNumberFormat="1" applyFont="1" applyFill="1" applyBorder="1" applyAlignment="1">
      <alignment horizontal="center" vertical="top" wrapText="1"/>
    </xf>
    <xf numFmtId="164" fontId="2" fillId="6" borderId="44" xfId="0" applyNumberFormat="1" applyFont="1" applyFill="1" applyBorder="1" applyAlignment="1">
      <alignment horizontal="center" vertical="center" wrapText="1"/>
    </xf>
    <xf numFmtId="0" fontId="3" fillId="12" borderId="44" xfId="0" applyFont="1" applyFill="1" applyBorder="1" applyAlignment="1">
      <alignment horizontal="center" vertical="top" wrapText="1"/>
    </xf>
    <xf numFmtId="0" fontId="3" fillId="12" borderId="46" xfId="0" applyFont="1" applyFill="1" applyBorder="1" applyAlignment="1">
      <alignment horizontal="center" vertical="top" wrapText="1"/>
    </xf>
    <xf numFmtId="0" fontId="3" fillId="0" borderId="16" xfId="0" applyFont="1" applyFill="1" applyBorder="1" applyAlignment="1">
      <alignment horizontal="center" vertical="center"/>
    </xf>
    <xf numFmtId="165" fontId="3" fillId="6" borderId="16" xfId="1" applyNumberFormat="1" applyFont="1" applyFill="1" applyBorder="1" applyAlignment="1">
      <alignment horizontal="center" vertical="top" wrapText="1"/>
    </xf>
    <xf numFmtId="3" fontId="21" fillId="6" borderId="16" xfId="1" applyNumberFormat="1" applyFont="1" applyFill="1" applyBorder="1" applyAlignment="1">
      <alignment horizontal="center" vertical="top" wrapText="1"/>
    </xf>
    <xf numFmtId="1" fontId="3" fillId="6" borderId="77" xfId="0" applyNumberFormat="1" applyFont="1" applyFill="1" applyBorder="1" applyAlignment="1">
      <alignment horizontal="center" vertical="top" wrapText="1"/>
    </xf>
    <xf numFmtId="3" fontId="3" fillId="0" borderId="33" xfId="0" applyNumberFormat="1" applyFont="1" applyFill="1" applyBorder="1" applyAlignment="1">
      <alignment horizontal="center" vertical="top"/>
    </xf>
    <xf numFmtId="3" fontId="3" fillId="0" borderId="46" xfId="0" applyNumberFormat="1" applyFont="1" applyFill="1" applyBorder="1" applyAlignment="1">
      <alignment horizontal="center" vertical="top"/>
    </xf>
    <xf numFmtId="165" fontId="3" fillId="0" borderId="48" xfId="0" applyNumberFormat="1" applyFont="1" applyFill="1" applyBorder="1" applyAlignment="1">
      <alignment horizontal="center" vertical="top"/>
    </xf>
    <xf numFmtId="165" fontId="3" fillId="0" borderId="18" xfId="0" applyNumberFormat="1" applyFont="1" applyFill="1" applyBorder="1" applyAlignment="1">
      <alignment horizontal="center" vertical="top"/>
    </xf>
    <xf numFmtId="165" fontId="3" fillId="6" borderId="39" xfId="0" applyNumberFormat="1" applyFont="1" applyFill="1" applyBorder="1" applyAlignment="1">
      <alignment horizontal="center" vertical="top"/>
    </xf>
    <xf numFmtId="165" fontId="3" fillId="6" borderId="30" xfId="1" applyNumberFormat="1" applyFont="1" applyFill="1" applyBorder="1" applyAlignment="1">
      <alignment horizontal="center" vertical="top"/>
    </xf>
    <xf numFmtId="165" fontId="3" fillId="6" borderId="2" xfId="0" applyNumberFormat="1" applyFont="1" applyFill="1" applyBorder="1" applyAlignment="1">
      <alignment horizontal="center" vertical="top"/>
    </xf>
    <xf numFmtId="165" fontId="3" fillId="2" borderId="45" xfId="0" applyNumberFormat="1" applyFont="1" applyFill="1" applyBorder="1" applyAlignment="1">
      <alignment horizontal="center" vertical="top"/>
    </xf>
    <xf numFmtId="165" fontId="3" fillId="6" borderId="40" xfId="0" applyNumberFormat="1" applyFont="1" applyFill="1" applyBorder="1" applyAlignment="1">
      <alignment horizontal="center" vertical="top"/>
    </xf>
    <xf numFmtId="165" fontId="3" fillId="2" borderId="30" xfId="0" applyNumberFormat="1" applyFont="1" applyFill="1" applyBorder="1" applyAlignment="1">
      <alignment horizontal="center" vertical="top"/>
    </xf>
    <xf numFmtId="165" fontId="3" fillId="2" borderId="50" xfId="0" applyNumberFormat="1" applyFont="1" applyFill="1" applyBorder="1" applyAlignment="1">
      <alignment horizontal="center" vertical="top"/>
    </xf>
    <xf numFmtId="165" fontId="3" fillId="2" borderId="51" xfId="0" applyNumberFormat="1" applyFont="1" applyFill="1" applyBorder="1" applyAlignment="1">
      <alignment horizontal="center" vertical="top"/>
    </xf>
    <xf numFmtId="165" fontId="5" fillId="10" borderId="60" xfId="0" applyNumberFormat="1" applyFont="1" applyFill="1" applyBorder="1" applyAlignment="1">
      <alignment horizontal="center" vertical="top"/>
    </xf>
    <xf numFmtId="165" fontId="5" fillId="4" borderId="59" xfId="0" applyNumberFormat="1" applyFont="1" applyFill="1" applyBorder="1" applyAlignment="1">
      <alignment horizontal="center" vertical="top"/>
    </xf>
    <xf numFmtId="165" fontId="5" fillId="4" borderId="60" xfId="0" applyNumberFormat="1" applyFont="1" applyFill="1" applyBorder="1" applyAlignment="1">
      <alignment horizontal="center" vertical="top"/>
    </xf>
    <xf numFmtId="0" fontId="26" fillId="0" borderId="5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0" xfId="0" applyFont="1" applyBorder="1" applyAlignment="1">
      <alignment horizontal="center" vertical="center" wrapText="1"/>
    </xf>
    <xf numFmtId="0" fontId="3" fillId="0" borderId="68" xfId="0" applyFont="1" applyBorder="1" applyAlignment="1">
      <alignment horizontal="center" vertical="center" wrapText="1"/>
    </xf>
    <xf numFmtId="165" fontId="3" fillId="8" borderId="29" xfId="0" applyNumberFormat="1" applyFont="1" applyFill="1" applyBorder="1" applyAlignment="1">
      <alignment horizontal="center" vertical="top"/>
    </xf>
    <xf numFmtId="165" fontId="3" fillId="8" borderId="15" xfId="0" applyNumberFormat="1" applyFont="1" applyFill="1" applyBorder="1" applyAlignment="1">
      <alignment horizontal="center" vertical="top" wrapText="1"/>
    </xf>
    <xf numFmtId="165" fontId="3" fillId="8" borderId="39" xfId="0" applyNumberFormat="1" applyFont="1" applyFill="1" applyBorder="1" applyAlignment="1">
      <alignment horizontal="center" vertical="top" wrapText="1"/>
    </xf>
    <xf numFmtId="165" fontId="5" fillId="4" borderId="39" xfId="0" applyNumberFormat="1" applyFont="1" applyFill="1" applyBorder="1" applyAlignment="1">
      <alignment horizontal="center" vertical="top" wrapText="1"/>
    </xf>
    <xf numFmtId="165" fontId="3" fillId="0" borderId="40" xfId="0" applyNumberFormat="1" applyFont="1" applyBorder="1" applyAlignment="1">
      <alignment horizontal="center" vertical="top" wrapText="1"/>
    </xf>
    <xf numFmtId="165" fontId="3" fillId="8" borderId="40" xfId="0" applyNumberFormat="1" applyFont="1" applyFill="1" applyBorder="1" applyAlignment="1">
      <alignment horizontal="center" vertical="top" wrapText="1"/>
    </xf>
    <xf numFmtId="165" fontId="5" fillId="4" borderId="40" xfId="0" applyNumberFormat="1" applyFont="1" applyFill="1" applyBorder="1" applyAlignment="1">
      <alignment horizontal="center" vertical="top" wrapText="1"/>
    </xf>
    <xf numFmtId="165" fontId="3" fillId="0" borderId="15" xfId="0" applyNumberFormat="1" applyFont="1" applyBorder="1" applyAlignment="1">
      <alignment horizontal="center" vertical="top"/>
    </xf>
    <xf numFmtId="165" fontId="3" fillId="0" borderId="2" xfId="0" applyNumberFormat="1" applyFont="1" applyBorder="1" applyAlignment="1">
      <alignment horizontal="center" vertical="top"/>
    </xf>
    <xf numFmtId="49" fontId="5" fillId="10" borderId="9"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49" fontId="5" fillId="6" borderId="14" xfId="0" applyNumberFormat="1" applyFont="1" applyFill="1" applyBorder="1" applyAlignment="1">
      <alignment horizontal="center" vertical="top"/>
    </xf>
    <xf numFmtId="0" fontId="3" fillId="6" borderId="8" xfId="0" applyFont="1" applyFill="1" applyBorder="1" applyAlignment="1">
      <alignment horizontal="center" vertical="top" wrapText="1"/>
    </xf>
    <xf numFmtId="0" fontId="3" fillId="6" borderId="9" xfId="0" applyFont="1" applyFill="1" applyBorder="1" applyAlignment="1">
      <alignment vertical="top" wrapText="1"/>
    </xf>
    <xf numFmtId="49" fontId="3" fillId="6" borderId="30" xfId="0" applyNumberFormat="1" applyFont="1" applyFill="1" applyBorder="1" applyAlignment="1">
      <alignment horizontal="center" vertical="top" wrapText="1"/>
    </xf>
    <xf numFmtId="1" fontId="3" fillId="6" borderId="95" xfId="0" applyNumberFormat="1" applyFont="1" applyFill="1" applyBorder="1" applyAlignment="1">
      <alignment horizontal="center" vertical="top" wrapText="1"/>
    </xf>
    <xf numFmtId="1" fontId="3" fillId="6" borderId="90" xfId="0" applyNumberFormat="1" applyFont="1" applyFill="1" applyBorder="1" applyAlignment="1">
      <alignment horizontal="center" vertical="top" wrapText="1"/>
    </xf>
    <xf numFmtId="1" fontId="3" fillId="6" borderId="91" xfId="0" applyNumberFormat="1" applyFont="1" applyFill="1" applyBorder="1" applyAlignment="1">
      <alignment horizontal="center" vertical="top" wrapText="1"/>
    </xf>
    <xf numFmtId="3" fontId="3" fillId="6" borderId="47" xfId="0" applyNumberFormat="1" applyFont="1" applyFill="1" applyBorder="1" applyAlignment="1">
      <alignment horizontal="center" vertical="top" wrapText="1"/>
    </xf>
    <xf numFmtId="3" fontId="3" fillId="6" borderId="17" xfId="0" applyNumberFormat="1" applyFont="1" applyFill="1" applyBorder="1" applyAlignment="1">
      <alignment horizontal="center" vertical="top" wrapText="1"/>
    </xf>
    <xf numFmtId="165" fontId="16" fillId="6" borderId="14" xfId="0" applyNumberFormat="1" applyFont="1" applyFill="1" applyBorder="1" applyAlignment="1">
      <alignment horizontal="center" vertical="top"/>
    </xf>
    <xf numFmtId="165" fontId="16" fillId="6" borderId="0" xfId="0" applyNumberFormat="1" applyFont="1" applyFill="1" applyBorder="1" applyAlignment="1">
      <alignment horizontal="center" vertical="top"/>
    </xf>
    <xf numFmtId="165" fontId="16" fillId="6" borderId="37" xfId="0" applyNumberFormat="1" applyFont="1" applyFill="1" applyBorder="1" applyAlignment="1">
      <alignment horizontal="center" vertical="top"/>
    </xf>
    <xf numFmtId="0" fontId="9" fillId="6" borderId="37" xfId="0" applyFont="1" applyFill="1" applyBorder="1" applyAlignment="1">
      <alignment vertical="top" wrapText="1"/>
    </xf>
    <xf numFmtId="165" fontId="3" fillId="6" borderId="24" xfId="0" applyNumberFormat="1" applyFont="1" applyFill="1" applyBorder="1" applyAlignment="1">
      <alignment horizontal="center" vertical="top" wrapText="1"/>
    </xf>
    <xf numFmtId="165" fontId="3" fillId="6" borderId="37" xfId="0" applyNumberFormat="1" applyFont="1" applyFill="1" applyBorder="1" applyAlignment="1">
      <alignment horizontal="center" vertical="top" wrapText="1"/>
    </xf>
    <xf numFmtId="165" fontId="3" fillId="6" borderId="43" xfId="0" applyNumberFormat="1" applyFont="1" applyFill="1" applyBorder="1" applyAlignment="1">
      <alignment horizontal="center" vertical="top" wrapText="1"/>
    </xf>
    <xf numFmtId="165" fontId="16" fillId="6" borderId="49" xfId="0" applyNumberFormat="1" applyFont="1" applyFill="1" applyBorder="1" applyAlignment="1">
      <alignment horizontal="center" vertical="top"/>
    </xf>
    <xf numFmtId="165" fontId="16" fillId="6" borderId="50" xfId="0" applyNumberFormat="1" applyFont="1" applyFill="1" applyBorder="1" applyAlignment="1">
      <alignment horizontal="center" vertical="top"/>
    </xf>
    <xf numFmtId="0" fontId="7" fillId="0" borderId="0" xfId="0" applyFont="1" applyAlignment="1">
      <alignment horizontal="left" vertical="top" wrapText="1"/>
    </xf>
    <xf numFmtId="49" fontId="5" fillId="6" borderId="30" xfId="0" applyNumberFormat="1" applyFont="1" applyFill="1" applyBorder="1" applyAlignment="1">
      <alignment horizontal="center" vertical="top"/>
    </xf>
    <xf numFmtId="0" fontId="3" fillId="6" borderId="95" xfId="0" applyFont="1" applyFill="1" applyBorder="1" applyAlignment="1">
      <alignment horizontal="center" vertical="top"/>
    </xf>
    <xf numFmtId="3" fontId="16" fillId="6" borderId="14" xfId="0" applyNumberFormat="1" applyFont="1" applyFill="1" applyBorder="1" applyAlignment="1">
      <alignment horizontal="center" vertical="top" wrapText="1"/>
    </xf>
    <xf numFmtId="0" fontId="3" fillId="6" borderId="8" xfId="0" applyFont="1" applyFill="1" applyBorder="1" applyAlignment="1">
      <alignment horizontal="center" vertical="top" wrapText="1"/>
    </xf>
    <xf numFmtId="0" fontId="3" fillId="6" borderId="89" xfId="0" applyFont="1" applyFill="1" applyBorder="1" applyAlignment="1">
      <alignment horizontal="center" vertical="center"/>
    </xf>
    <xf numFmtId="0" fontId="3" fillId="6" borderId="93" xfId="0" applyFont="1" applyFill="1" applyBorder="1" applyAlignment="1">
      <alignment horizontal="center" vertical="center"/>
    </xf>
    <xf numFmtId="165" fontId="3" fillId="2" borderId="16" xfId="0" applyNumberFormat="1" applyFont="1" applyFill="1" applyBorder="1" applyAlignment="1">
      <alignment horizontal="center" vertical="top"/>
    </xf>
    <xf numFmtId="165" fontId="16" fillId="6" borderId="36" xfId="0" applyNumberFormat="1" applyFont="1" applyFill="1" applyBorder="1" applyAlignment="1">
      <alignment horizontal="center" vertical="top"/>
    </xf>
    <xf numFmtId="0" fontId="16" fillId="6" borderId="0" xfId="0" applyFont="1" applyFill="1" applyBorder="1" applyAlignment="1">
      <alignment horizontal="center" vertical="top"/>
    </xf>
    <xf numFmtId="0" fontId="16" fillId="6" borderId="14" xfId="0" applyFont="1" applyFill="1" applyBorder="1" applyAlignment="1">
      <alignment horizontal="center" vertical="top"/>
    </xf>
    <xf numFmtId="0" fontId="16" fillId="6" borderId="49" xfId="0"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6" borderId="14"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0" fontId="3" fillId="6" borderId="41" xfId="1" applyFont="1" applyFill="1" applyBorder="1" applyAlignment="1">
      <alignment vertical="top" wrapText="1"/>
    </xf>
    <xf numFmtId="0" fontId="0" fillId="0" borderId="30" xfId="0" applyBorder="1" applyAlignment="1">
      <alignment horizontal="left" vertical="top" wrapText="1"/>
    </xf>
    <xf numFmtId="0" fontId="5" fillId="6" borderId="9" xfId="0" applyFont="1" applyFill="1" applyBorder="1" applyAlignment="1">
      <alignment vertical="top" wrapText="1"/>
    </xf>
    <xf numFmtId="0" fontId="3" fillId="6" borderId="36" xfId="0" applyFont="1" applyFill="1" applyBorder="1" applyAlignment="1">
      <alignment vertical="top" wrapText="1"/>
    </xf>
    <xf numFmtId="0" fontId="3" fillId="6" borderId="9" xfId="0" applyFont="1" applyFill="1" applyBorder="1" applyAlignment="1">
      <alignment vertical="top" wrapText="1"/>
    </xf>
    <xf numFmtId="49" fontId="5" fillId="10" borderId="9"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0" fontId="3" fillId="6" borderId="14" xfId="0" applyFont="1" applyFill="1" applyBorder="1" applyAlignment="1">
      <alignment horizontal="center" vertical="center" textRotation="90" wrapText="1"/>
    </xf>
    <xf numFmtId="0" fontId="3" fillId="6" borderId="9" xfId="0" applyFont="1" applyFill="1" applyBorder="1" applyAlignment="1">
      <alignment vertical="top" wrapText="1"/>
    </xf>
    <xf numFmtId="0" fontId="3" fillId="6" borderId="8" xfId="0" applyFont="1" applyFill="1" applyBorder="1" applyAlignment="1">
      <alignment horizontal="center" vertical="top" wrapText="1"/>
    </xf>
    <xf numFmtId="165" fontId="16" fillId="6" borderId="18" xfId="0" applyNumberFormat="1" applyFont="1" applyFill="1" applyBorder="1" applyAlignment="1">
      <alignment horizontal="center" vertical="top"/>
    </xf>
    <xf numFmtId="165" fontId="16" fillId="6" borderId="48" xfId="0" applyNumberFormat="1" applyFont="1" applyFill="1" applyBorder="1" applyAlignment="1">
      <alignment horizontal="center" vertical="top"/>
    </xf>
    <xf numFmtId="165" fontId="16" fillId="6" borderId="38" xfId="0" applyNumberFormat="1" applyFont="1" applyFill="1" applyBorder="1" applyAlignment="1">
      <alignment horizontal="center" vertical="top"/>
    </xf>
    <xf numFmtId="165" fontId="16" fillId="6" borderId="16" xfId="3" applyNumberFormat="1" applyFont="1" applyFill="1" applyBorder="1" applyAlignment="1">
      <alignment horizontal="center" vertical="top"/>
    </xf>
    <xf numFmtId="165" fontId="16" fillId="6" borderId="16" xfId="0" applyNumberFormat="1" applyFont="1" applyFill="1" applyBorder="1" applyAlignment="1">
      <alignment horizontal="center" vertical="top"/>
    </xf>
    <xf numFmtId="165" fontId="16" fillId="6" borderId="29" xfId="0" applyNumberFormat="1" applyFont="1" applyFill="1" applyBorder="1" applyAlignment="1">
      <alignment horizontal="center" vertical="top"/>
    </xf>
    <xf numFmtId="165" fontId="16" fillId="6" borderId="14" xfId="0" applyNumberFormat="1" applyFont="1" applyFill="1" applyBorder="1" applyAlignment="1">
      <alignment horizontal="center" vertical="top" wrapText="1"/>
    </xf>
    <xf numFmtId="165" fontId="16" fillId="6" borderId="49" xfId="0" applyNumberFormat="1" applyFont="1" applyFill="1" applyBorder="1" applyAlignment="1">
      <alignment horizontal="center" vertical="top" wrapText="1"/>
    </xf>
    <xf numFmtId="0" fontId="3" fillId="12" borderId="28" xfId="0" applyFont="1" applyFill="1" applyBorder="1" applyAlignment="1">
      <alignment horizontal="center" vertical="top" wrapText="1"/>
    </xf>
    <xf numFmtId="0" fontId="16" fillId="6" borderId="51" xfId="0" applyFont="1" applyFill="1" applyBorder="1" applyAlignment="1">
      <alignment horizontal="center" vertical="top"/>
    </xf>
    <xf numFmtId="165" fontId="16" fillId="6" borderId="51" xfId="0" applyNumberFormat="1" applyFont="1" applyFill="1" applyBorder="1" applyAlignment="1">
      <alignment horizontal="center" vertical="top" wrapText="1"/>
    </xf>
    <xf numFmtId="49" fontId="5" fillId="6" borderId="46" xfId="0" applyNumberFormat="1" applyFont="1" applyFill="1" applyBorder="1" applyAlignment="1">
      <alignment horizontal="center" vertical="center" textRotation="90" wrapText="1"/>
    </xf>
    <xf numFmtId="49" fontId="5" fillId="6" borderId="14" xfId="0" applyNumberFormat="1" applyFont="1" applyFill="1" applyBorder="1" applyAlignment="1">
      <alignment horizontal="center" vertical="top" wrapText="1"/>
    </xf>
    <xf numFmtId="0" fontId="5" fillId="6" borderId="14" xfId="0" applyFont="1" applyFill="1" applyBorder="1" applyAlignment="1">
      <alignment horizontal="center" vertical="top" wrapText="1"/>
    </xf>
    <xf numFmtId="0" fontId="3" fillId="6" borderId="9" xfId="0" applyFont="1" applyFill="1" applyBorder="1" applyAlignment="1">
      <alignment horizontal="left" vertical="top" wrapText="1"/>
    </xf>
    <xf numFmtId="3" fontId="3" fillId="6" borderId="43" xfId="0" applyNumberFormat="1" applyFont="1" applyFill="1" applyBorder="1" applyAlignment="1">
      <alignment horizontal="center" vertical="top" wrapText="1"/>
    </xf>
    <xf numFmtId="3" fontId="16" fillId="6" borderId="46" xfId="0" applyNumberFormat="1" applyFont="1" applyFill="1" applyBorder="1" applyAlignment="1">
      <alignment horizontal="center" vertical="top" wrapText="1"/>
    </xf>
    <xf numFmtId="0" fontId="3" fillId="6" borderId="7" xfId="0" applyFont="1" applyFill="1" applyBorder="1" applyAlignment="1">
      <alignment vertical="top" wrapText="1"/>
    </xf>
    <xf numFmtId="165" fontId="3" fillId="6" borderId="43" xfId="0" applyNumberFormat="1" applyFont="1" applyFill="1" applyBorder="1" applyAlignment="1">
      <alignment vertical="top"/>
    </xf>
    <xf numFmtId="0" fontId="3" fillId="6" borderId="8" xfId="0" applyFont="1" applyFill="1" applyBorder="1" applyAlignment="1">
      <alignment horizontal="center" vertical="top" wrapText="1"/>
    </xf>
    <xf numFmtId="165" fontId="3" fillId="13" borderId="36" xfId="3" applyNumberFormat="1" applyFont="1" applyFill="1" applyBorder="1" applyAlignment="1">
      <alignment horizontal="center" vertical="top"/>
    </xf>
    <xf numFmtId="165" fontId="3" fillId="6" borderId="29" xfId="0" applyNumberFormat="1" applyFont="1" applyFill="1" applyBorder="1" applyAlignment="1">
      <alignment horizontal="center" vertical="top"/>
    </xf>
    <xf numFmtId="165" fontId="3" fillId="6" borderId="36" xfId="0" applyNumberFormat="1" applyFont="1" applyFill="1" applyBorder="1" applyAlignment="1">
      <alignment horizontal="center" vertical="top" wrapText="1"/>
    </xf>
    <xf numFmtId="0" fontId="3" fillId="6" borderId="36" xfId="0" applyFont="1" applyFill="1" applyBorder="1" applyAlignment="1">
      <alignment horizontal="center" vertical="top"/>
    </xf>
    <xf numFmtId="0" fontId="3" fillId="6" borderId="0" xfId="0" applyFont="1" applyFill="1" applyBorder="1" applyAlignment="1">
      <alignment horizontal="center" vertical="top"/>
    </xf>
    <xf numFmtId="165" fontId="16" fillId="6" borderId="36" xfId="0" applyNumberFormat="1" applyFont="1" applyFill="1" applyBorder="1" applyAlignment="1">
      <alignment horizontal="center" vertical="top" wrapText="1"/>
    </xf>
    <xf numFmtId="165" fontId="16" fillId="6" borderId="17" xfId="0" applyNumberFormat="1" applyFont="1" applyFill="1" applyBorder="1" applyAlignment="1">
      <alignment horizontal="center" vertical="top"/>
    </xf>
    <xf numFmtId="0" fontId="3" fillId="6" borderId="36" xfId="0" applyFont="1" applyFill="1" applyBorder="1" applyAlignment="1">
      <alignment vertical="top" wrapText="1"/>
    </xf>
    <xf numFmtId="49" fontId="5" fillId="10" borderId="9" xfId="0" applyNumberFormat="1" applyFont="1" applyFill="1" applyBorder="1" applyAlignment="1">
      <alignment horizontal="center" vertical="top"/>
    </xf>
    <xf numFmtId="49" fontId="5" fillId="3" borderId="14"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6" borderId="14" xfId="0" applyNumberFormat="1" applyFont="1" applyFill="1" applyBorder="1" applyAlignment="1">
      <alignment horizontal="center" vertical="top"/>
    </xf>
    <xf numFmtId="0" fontId="3" fillId="6" borderId="36" xfId="0" applyFont="1" applyFill="1" applyBorder="1" applyAlignment="1">
      <alignment horizontal="left" vertical="top" wrapText="1"/>
    </xf>
    <xf numFmtId="0" fontId="3" fillId="6" borderId="8" xfId="0" applyFont="1" applyFill="1" applyBorder="1" applyAlignment="1">
      <alignment horizontal="center" vertical="top" wrapText="1"/>
    </xf>
    <xf numFmtId="1" fontId="3" fillId="6" borderId="30" xfId="0" applyNumberFormat="1" applyFont="1" applyFill="1" applyBorder="1" applyAlignment="1">
      <alignment horizontal="center" vertical="top" wrapText="1"/>
    </xf>
    <xf numFmtId="1" fontId="3" fillId="6" borderId="28" xfId="0" applyNumberFormat="1" applyFont="1" applyFill="1" applyBorder="1" applyAlignment="1">
      <alignment horizontal="center" vertical="top" wrapText="1"/>
    </xf>
    <xf numFmtId="165" fontId="16" fillId="6" borderId="47" xfId="0" applyNumberFormat="1" applyFont="1" applyFill="1" applyBorder="1" applyAlignment="1">
      <alignment horizontal="center" vertical="top"/>
    </xf>
    <xf numFmtId="0" fontId="3" fillId="6" borderId="47" xfId="0" applyFont="1" applyFill="1" applyBorder="1" applyAlignment="1">
      <alignment horizontal="left" vertical="top" wrapText="1"/>
    </xf>
    <xf numFmtId="0" fontId="3" fillId="0" borderId="2" xfId="0" applyFont="1" applyFill="1" applyBorder="1" applyAlignment="1">
      <alignment vertical="top" wrapText="1"/>
    </xf>
    <xf numFmtId="3" fontId="35" fillId="0" borderId="2" xfId="1" applyNumberFormat="1" applyFont="1" applyFill="1" applyBorder="1" applyAlignment="1">
      <alignment horizontal="center" vertical="top"/>
    </xf>
    <xf numFmtId="3" fontId="3" fillId="0" borderId="33" xfId="1"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49" fontId="5" fillId="6" borderId="14" xfId="0" applyNumberFormat="1" applyFont="1" applyFill="1" applyBorder="1" applyAlignment="1">
      <alignment horizontal="center" vertical="top"/>
    </xf>
    <xf numFmtId="0" fontId="3" fillId="6" borderId="46" xfId="0" applyFont="1" applyFill="1" applyBorder="1" applyAlignment="1">
      <alignment horizontal="left" vertical="top" wrapText="1"/>
    </xf>
    <xf numFmtId="0" fontId="3" fillId="6" borderId="46" xfId="0" applyFont="1" applyFill="1" applyBorder="1" applyAlignment="1">
      <alignment horizontal="center" vertical="center" textRotation="90" wrapText="1"/>
    </xf>
    <xf numFmtId="0" fontId="3" fillId="6" borderId="36" xfId="0" applyFont="1" applyFill="1" applyBorder="1" applyAlignment="1">
      <alignment vertical="top" wrapText="1"/>
    </xf>
    <xf numFmtId="0" fontId="3" fillId="6" borderId="8" xfId="0" applyFont="1" applyFill="1" applyBorder="1" applyAlignment="1">
      <alignment horizontal="center" vertical="top" wrapText="1"/>
    </xf>
    <xf numFmtId="49" fontId="5" fillId="10" borderId="9" xfId="0" applyNumberFormat="1" applyFont="1" applyFill="1" applyBorder="1" applyAlignment="1">
      <alignment horizontal="center" vertical="top"/>
    </xf>
    <xf numFmtId="49" fontId="5" fillId="6" borderId="14"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0" fontId="3" fillId="6" borderId="46" xfId="0" applyFont="1" applyFill="1" applyBorder="1" applyAlignment="1">
      <alignment horizontal="center" vertical="center" textRotation="90" wrapText="1"/>
    </xf>
    <xf numFmtId="0" fontId="3" fillId="6" borderId="46" xfId="0" applyFont="1" applyFill="1" applyBorder="1" applyAlignment="1">
      <alignment horizontal="left" vertical="top" wrapText="1"/>
    </xf>
    <xf numFmtId="0" fontId="0" fillId="6" borderId="16" xfId="0" applyFill="1" applyBorder="1" applyAlignment="1">
      <alignment horizontal="left" vertical="top" wrapText="1"/>
    </xf>
    <xf numFmtId="0" fontId="3" fillId="6" borderId="8" xfId="0" applyFont="1" applyFill="1" applyBorder="1" applyAlignment="1">
      <alignment horizontal="center" vertical="top" wrapText="1"/>
    </xf>
    <xf numFmtId="165" fontId="3" fillId="13" borderId="61" xfId="3" applyNumberFormat="1" applyFont="1" applyFill="1" applyBorder="1" applyAlignment="1">
      <alignment horizontal="center" vertical="top"/>
    </xf>
    <xf numFmtId="165" fontId="3" fillId="13" borderId="30" xfId="3" applyNumberFormat="1" applyFont="1" applyFill="1" applyBorder="1" applyAlignment="1">
      <alignment horizontal="center" vertical="top"/>
    </xf>
    <xf numFmtId="165" fontId="16" fillId="6" borderId="29" xfId="3" applyNumberFormat="1" applyFont="1" applyFill="1" applyBorder="1" applyAlignment="1">
      <alignment horizontal="center" vertical="top"/>
    </xf>
    <xf numFmtId="165" fontId="16" fillId="6" borderId="35" xfId="0" applyNumberFormat="1" applyFont="1" applyFill="1" applyBorder="1" applyAlignment="1">
      <alignment horizontal="center" vertical="top"/>
    </xf>
    <xf numFmtId="0" fontId="3" fillId="6" borderId="80" xfId="0" applyFont="1" applyFill="1" applyBorder="1" applyAlignment="1">
      <alignment horizontal="left" vertical="top" wrapText="1"/>
    </xf>
    <xf numFmtId="0" fontId="3" fillId="6" borderId="9" xfId="1" applyFont="1" applyFill="1" applyBorder="1" applyAlignment="1">
      <alignment horizontal="left" vertical="top" wrapText="1"/>
    </xf>
    <xf numFmtId="0" fontId="3" fillId="6" borderId="9" xfId="0" applyFont="1" applyFill="1" applyBorder="1" applyAlignment="1">
      <alignment horizontal="left" vertical="top" wrapText="1"/>
    </xf>
    <xf numFmtId="0" fontId="3" fillId="6" borderId="27" xfId="0" applyFont="1" applyFill="1" applyBorder="1" applyAlignment="1">
      <alignment horizontal="left" vertical="top" wrapText="1"/>
    </xf>
    <xf numFmtId="0" fontId="3" fillId="6" borderId="18" xfId="0" applyFont="1" applyFill="1" applyBorder="1" applyAlignment="1">
      <alignment horizontal="center" vertical="center" textRotation="90" wrapText="1"/>
    </xf>
    <xf numFmtId="0" fontId="3" fillId="6" borderId="14" xfId="0" applyFont="1" applyFill="1" applyBorder="1" applyAlignment="1">
      <alignment horizontal="center" vertical="center" textRotation="90" wrapText="1"/>
    </xf>
    <xf numFmtId="0" fontId="3" fillId="6" borderId="14" xfId="0" applyFont="1" applyFill="1" applyBorder="1" applyAlignment="1">
      <alignment horizontal="left" vertical="top" wrapText="1"/>
    </xf>
    <xf numFmtId="49" fontId="5" fillId="10" borderId="9" xfId="0" applyNumberFormat="1" applyFont="1" applyFill="1" applyBorder="1" applyAlignment="1">
      <alignment horizontal="center" vertical="top"/>
    </xf>
    <xf numFmtId="49" fontId="5" fillId="3" borderId="14" xfId="0" applyNumberFormat="1" applyFont="1" applyFill="1" applyBorder="1" applyAlignment="1">
      <alignment horizontal="center" vertical="top"/>
    </xf>
    <xf numFmtId="49" fontId="5" fillId="6" borderId="14" xfId="0" applyNumberFormat="1" applyFont="1" applyFill="1" applyBorder="1" applyAlignment="1">
      <alignment horizontal="center" vertical="top"/>
    </xf>
    <xf numFmtId="49" fontId="5" fillId="6" borderId="46"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0" fontId="3" fillId="6" borderId="35" xfId="0" applyFont="1" applyFill="1" applyBorder="1" applyAlignment="1">
      <alignment horizontal="center" vertical="center" textRotation="90" wrapText="1"/>
    </xf>
    <xf numFmtId="0" fontId="5" fillId="6" borderId="14" xfId="0" applyFont="1" applyFill="1" applyBorder="1" applyAlignment="1">
      <alignment horizontal="left" vertical="top" wrapText="1"/>
    </xf>
    <xf numFmtId="0" fontId="3" fillId="6" borderId="7" xfId="0" applyFont="1" applyFill="1" applyBorder="1" applyAlignment="1">
      <alignment horizontal="left" vertical="top" wrapText="1"/>
    </xf>
    <xf numFmtId="49" fontId="5" fillId="3" borderId="55" xfId="0" applyNumberFormat="1" applyFont="1" applyFill="1" applyBorder="1" applyAlignment="1">
      <alignment horizontal="center" vertical="top"/>
    </xf>
    <xf numFmtId="0" fontId="5" fillId="6" borderId="9" xfId="0" applyFont="1" applyFill="1" applyBorder="1" applyAlignment="1">
      <alignment vertical="top" wrapText="1"/>
    </xf>
    <xf numFmtId="0" fontId="3" fillId="6" borderId="9" xfId="1" applyFont="1" applyFill="1" applyBorder="1" applyAlignment="1">
      <alignment vertical="top" wrapText="1"/>
    </xf>
    <xf numFmtId="0" fontId="3" fillId="6" borderId="14" xfId="0" applyFont="1" applyFill="1" applyBorder="1" applyAlignment="1">
      <alignment vertical="top" wrapText="1"/>
    </xf>
    <xf numFmtId="0" fontId="3" fillId="6" borderId="41" xfId="0" applyFont="1" applyFill="1" applyBorder="1" applyAlignment="1">
      <alignment vertical="top" wrapText="1"/>
    </xf>
    <xf numFmtId="49" fontId="5" fillId="6" borderId="14" xfId="0" applyNumberFormat="1" applyFont="1" applyFill="1" applyBorder="1" applyAlignment="1">
      <alignment horizontal="center" vertical="top" wrapText="1"/>
    </xf>
    <xf numFmtId="0" fontId="5" fillId="6" borderId="14" xfId="0" applyFont="1" applyFill="1" applyBorder="1" applyAlignment="1">
      <alignment horizontal="center" vertical="top" wrapText="1"/>
    </xf>
    <xf numFmtId="0" fontId="3" fillId="6" borderId="86" xfId="0" applyFont="1" applyFill="1" applyBorder="1" applyAlignment="1">
      <alignment vertical="top" wrapText="1"/>
    </xf>
    <xf numFmtId="0" fontId="3" fillId="6" borderId="61" xfId="0" applyFont="1" applyFill="1" applyBorder="1" applyAlignment="1">
      <alignment horizontal="left" vertical="top" wrapText="1"/>
    </xf>
    <xf numFmtId="0" fontId="3" fillId="6" borderId="36" xfId="0" applyFont="1" applyFill="1" applyBorder="1" applyAlignment="1">
      <alignment vertical="top" wrapText="1"/>
    </xf>
    <xf numFmtId="3" fontId="3" fillId="6" borderId="14" xfId="0" applyNumberFormat="1" applyFont="1" applyFill="1" applyBorder="1" applyAlignment="1">
      <alignment horizontal="center" vertical="top" wrapText="1"/>
    </xf>
    <xf numFmtId="0" fontId="3" fillId="6" borderId="27" xfId="1" applyFont="1" applyFill="1" applyBorder="1" applyAlignment="1">
      <alignment vertical="top" wrapText="1"/>
    </xf>
    <xf numFmtId="0" fontId="3" fillId="6" borderId="9" xfId="0" applyFont="1" applyFill="1" applyBorder="1" applyAlignment="1">
      <alignment vertical="top" wrapText="1"/>
    </xf>
    <xf numFmtId="0" fontId="3" fillId="6" borderId="8" xfId="0" applyFont="1" applyFill="1" applyBorder="1" applyAlignment="1">
      <alignment horizontal="center" vertical="top" wrapText="1"/>
    </xf>
    <xf numFmtId="0" fontId="3" fillId="6" borderId="36" xfId="0" applyFont="1" applyFill="1" applyBorder="1" applyAlignment="1">
      <alignment horizontal="left" vertical="top" wrapText="1"/>
    </xf>
    <xf numFmtId="0" fontId="3" fillId="6" borderId="53" xfId="0" applyFont="1" applyFill="1" applyBorder="1" applyAlignment="1">
      <alignment vertical="top" wrapText="1"/>
    </xf>
    <xf numFmtId="0" fontId="3" fillId="6" borderId="41" xfId="0" applyFont="1" applyFill="1" applyBorder="1" applyAlignment="1">
      <alignment horizontal="left" vertical="top" wrapText="1"/>
    </xf>
    <xf numFmtId="165" fontId="3" fillId="6" borderId="63" xfId="0" applyNumberFormat="1" applyFont="1" applyFill="1" applyBorder="1" applyAlignment="1">
      <alignment horizontal="center" vertical="top"/>
    </xf>
    <xf numFmtId="3" fontId="3" fillId="0" borderId="39" xfId="1" applyNumberFormat="1" applyFont="1" applyFill="1" applyBorder="1" applyAlignment="1">
      <alignment horizontal="center" vertical="top"/>
    </xf>
    <xf numFmtId="3" fontId="3" fillId="0" borderId="16" xfId="1" applyNumberFormat="1" applyFont="1" applyFill="1" applyBorder="1" applyAlignment="1">
      <alignment horizontal="left" vertical="top" wrapText="1"/>
    </xf>
    <xf numFmtId="0" fontId="36" fillId="0" borderId="0" xfId="0" applyFont="1" applyAlignment="1">
      <alignment horizontal="right" vertical="top"/>
    </xf>
    <xf numFmtId="3" fontId="3" fillId="6" borderId="75" xfId="0" applyNumberFormat="1" applyFont="1" applyFill="1" applyBorder="1" applyAlignment="1">
      <alignment horizontal="center" vertical="top" wrapText="1"/>
    </xf>
    <xf numFmtId="165" fontId="3" fillId="0" borderId="12" xfId="0" applyNumberFormat="1" applyFont="1" applyFill="1" applyBorder="1" applyAlignment="1">
      <alignment horizontal="center" vertical="top" wrapText="1"/>
    </xf>
    <xf numFmtId="3" fontId="3" fillId="6" borderId="28" xfId="1" applyNumberFormat="1" applyFont="1" applyFill="1" applyBorder="1" applyAlignment="1">
      <alignment horizontal="center" vertical="top"/>
    </xf>
    <xf numFmtId="1" fontId="3" fillId="6" borderId="46" xfId="1" applyNumberFormat="1" applyFont="1" applyFill="1" applyBorder="1" applyAlignment="1">
      <alignment horizontal="center" vertical="top" wrapText="1"/>
    </xf>
    <xf numFmtId="3" fontId="3" fillId="6" borderId="93" xfId="1" applyNumberFormat="1" applyFont="1" applyFill="1" applyBorder="1" applyAlignment="1">
      <alignment horizontal="center" vertical="top" wrapText="1"/>
    </xf>
    <xf numFmtId="165" fontId="3" fillId="6" borderId="105" xfId="0" applyNumberFormat="1" applyFont="1" applyFill="1" applyBorder="1" applyAlignment="1">
      <alignment vertical="top"/>
    </xf>
    <xf numFmtId="3" fontId="3" fillId="0" borderId="43" xfId="0" applyNumberFormat="1" applyFont="1" applyFill="1" applyBorder="1" applyAlignment="1">
      <alignment horizontal="center" vertical="top"/>
    </xf>
    <xf numFmtId="3" fontId="3" fillId="0" borderId="28" xfId="0" applyNumberFormat="1" applyFont="1" applyFill="1" applyBorder="1" applyAlignment="1">
      <alignment horizontal="center" vertical="top"/>
    </xf>
    <xf numFmtId="0" fontId="5" fillId="9" borderId="59" xfId="0" applyFont="1" applyFill="1" applyBorder="1" applyAlignment="1">
      <alignment horizontal="left" vertical="top" wrapText="1"/>
    </xf>
    <xf numFmtId="0" fontId="3" fillId="6" borderId="9" xfId="0" applyFont="1" applyFill="1" applyBorder="1" applyAlignment="1">
      <alignment horizontal="left" vertical="top" wrapText="1"/>
    </xf>
    <xf numFmtId="0" fontId="3" fillId="6" borderId="14" xfId="0" applyFont="1" applyFill="1" applyBorder="1" applyAlignment="1">
      <alignment horizontal="center" vertical="center" textRotation="90" wrapText="1"/>
    </xf>
    <xf numFmtId="49" fontId="5" fillId="10" borderId="9" xfId="0" applyNumberFormat="1" applyFont="1" applyFill="1" applyBorder="1" applyAlignment="1">
      <alignment horizontal="center" vertical="top"/>
    </xf>
    <xf numFmtId="0" fontId="3" fillId="6" borderId="44" xfId="0" applyFont="1" applyFill="1" applyBorder="1" applyAlignment="1">
      <alignment horizontal="left" vertical="top" wrapText="1"/>
    </xf>
    <xf numFmtId="49" fontId="5" fillId="3" borderId="14" xfId="0" applyNumberFormat="1" applyFont="1" applyFill="1" applyBorder="1" applyAlignment="1">
      <alignment horizontal="center" vertical="top"/>
    </xf>
    <xf numFmtId="49" fontId="5" fillId="6" borderId="14" xfId="0" applyNumberFormat="1" applyFont="1" applyFill="1" applyBorder="1" applyAlignment="1">
      <alignment horizontal="center" vertical="top"/>
    </xf>
    <xf numFmtId="49" fontId="5" fillId="6" borderId="46"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0" fontId="3" fillId="6" borderId="44" xfId="0" applyFont="1" applyFill="1" applyBorder="1" applyAlignment="1">
      <alignment horizontal="center" vertical="center" textRotation="90" wrapText="1"/>
    </xf>
    <xf numFmtId="0" fontId="3" fillId="6" borderId="46" xfId="0" applyFont="1" applyFill="1" applyBorder="1" applyAlignment="1">
      <alignment horizontal="center" vertical="center" textRotation="90" wrapText="1"/>
    </xf>
    <xf numFmtId="0" fontId="3" fillId="6" borderId="35" xfId="0" applyFont="1" applyFill="1" applyBorder="1" applyAlignment="1">
      <alignment horizontal="center" vertical="center" textRotation="90" wrapText="1"/>
    </xf>
    <xf numFmtId="0" fontId="3" fillId="6" borderId="17" xfId="0" applyFont="1" applyFill="1" applyBorder="1" applyAlignment="1">
      <alignment horizontal="center" vertical="center" textRotation="90" wrapText="1"/>
    </xf>
    <xf numFmtId="0" fontId="3" fillId="6" borderId="46" xfId="0" applyFont="1" applyFill="1" applyBorder="1" applyAlignment="1">
      <alignment horizontal="left" vertical="top" wrapText="1"/>
    </xf>
    <xf numFmtId="0" fontId="3" fillId="6" borderId="7" xfId="0" applyFont="1" applyFill="1" applyBorder="1" applyAlignment="1">
      <alignment horizontal="left" vertical="top" wrapText="1"/>
    </xf>
    <xf numFmtId="49" fontId="5" fillId="10" borderId="10" xfId="0" applyNumberFormat="1" applyFont="1" applyFill="1" applyBorder="1" applyAlignment="1">
      <alignment horizontal="center" vertical="top"/>
    </xf>
    <xf numFmtId="49" fontId="5" fillId="3" borderId="55" xfId="0" applyNumberFormat="1" applyFont="1" applyFill="1" applyBorder="1" applyAlignment="1">
      <alignment horizontal="center" vertical="top"/>
    </xf>
    <xf numFmtId="49" fontId="5" fillId="6" borderId="14" xfId="0" applyNumberFormat="1" applyFont="1" applyFill="1" applyBorder="1" applyAlignment="1">
      <alignment horizontal="center" vertical="top" wrapText="1"/>
    </xf>
    <xf numFmtId="0" fontId="7" fillId="9" borderId="59" xfId="0" applyFont="1" applyFill="1" applyBorder="1" applyAlignment="1">
      <alignment horizontal="left" vertical="top" wrapText="1"/>
    </xf>
    <xf numFmtId="49" fontId="5" fillId="0" borderId="0" xfId="0" applyNumberFormat="1" applyFont="1" applyFill="1" applyBorder="1" applyAlignment="1">
      <alignment horizontal="center" vertical="top" wrapText="1"/>
    </xf>
    <xf numFmtId="3" fontId="3" fillId="6" borderId="16" xfId="0" applyNumberFormat="1" applyFont="1" applyFill="1" applyBorder="1" applyAlignment="1">
      <alignment horizontal="left" vertical="top" wrapText="1"/>
    </xf>
    <xf numFmtId="0" fontId="7" fillId="6" borderId="16" xfId="0" applyFont="1" applyFill="1" applyBorder="1" applyAlignment="1">
      <alignment horizontal="left" vertical="top" wrapText="1"/>
    </xf>
    <xf numFmtId="0" fontId="0" fillId="6" borderId="16" xfId="0" applyFill="1" applyBorder="1" applyAlignment="1">
      <alignment horizontal="left" vertical="top" wrapText="1"/>
    </xf>
    <xf numFmtId="0" fontId="3" fillId="6" borderId="8" xfId="0" applyFont="1" applyFill="1" applyBorder="1" applyAlignment="1">
      <alignment horizontal="center" vertical="top" wrapText="1"/>
    </xf>
    <xf numFmtId="49" fontId="3" fillId="6" borderId="8" xfId="0" applyNumberFormat="1" applyFont="1" applyFill="1" applyBorder="1" applyAlignment="1">
      <alignment horizontal="center" vertical="top" wrapText="1"/>
    </xf>
    <xf numFmtId="49" fontId="5" fillId="6" borderId="18" xfId="0" applyNumberFormat="1" applyFont="1" applyFill="1" applyBorder="1" applyAlignment="1">
      <alignment horizontal="center" vertical="top"/>
    </xf>
    <xf numFmtId="49" fontId="5" fillId="8" borderId="14" xfId="0" applyNumberFormat="1" applyFont="1" applyFill="1" applyBorder="1" applyAlignment="1">
      <alignment horizontal="center" vertical="top"/>
    </xf>
    <xf numFmtId="49" fontId="5" fillId="6" borderId="18" xfId="0" applyNumberFormat="1" applyFont="1" applyFill="1" applyBorder="1" applyAlignment="1">
      <alignment horizontal="center" vertical="top" wrapText="1"/>
    </xf>
    <xf numFmtId="49" fontId="5" fillId="8" borderId="14" xfId="0" applyNumberFormat="1" applyFont="1" applyFill="1" applyBorder="1" applyAlignment="1">
      <alignment horizontal="center" vertical="top" wrapText="1"/>
    </xf>
    <xf numFmtId="0" fontId="7" fillId="0" borderId="0" xfId="0" applyFont="1" applyAlignment="1">
      <alignment horizontal="right"/>
    </xf>
    <xf numFmtId="0" fontId="3" fillId="6" borderId="53" xfId="0" applyFont="1" applyFill="1" applyBorder="1" applyAlignment="1">
      <alignment vertical="top" wrapText="1"/>
    </xf>
    <xf numFmtId="0" fontId="3" fillId="6" borderId="41" xfId="0" applyFont="1" applyFill="1" applyBorder="1" applyAlignment="1">
      <alignment vertical="top" wrapText="1"/>
    </xf>
    <xf numFmtId="3" fontId="35" fillId="6" borderId="30" xfId="0" applyNumberFormat="1" applyFont="1" applyFill="1" applyBorder="1" applyAlignment="1">
      <alignment horizontal="center" vertical="top" wrapText="1"/>
    </xf>
    <xf numFmtId="3" fontId="35" fillId="6" borderId="28" xfId="0" applyNumberFormat="1" applyFont="1" applyFill="1" applyBorder="1" applyAlignment="1">
      <alignment horizontal="center" vertical="top" wrapText="1"/>
    </xf>
    <xf numFmtId="3" fontId="16" fillId="6" borderId="28" xfId="0" applyNumberFormat="1" applyFont="1" applyFill="1" applyBorder="1" applyAlignment="1">
      <alignment horizontal="center" vertical="top" wrapText="1"/>
    </xf>
    <xf numFmtId="165" fontId="3" fillId="6" borderId="87" xfId="0" applyNumberFormat="1" applyFont="1" applyFill="1" applyBorder="1" applyAlignment="1">
      <alignment horizontal="center" vertical="top"/>
    </xf>
    <xf numFmtId="165" fontId="16" fillId="6" borderId="45" xfId="0" applyNumberFormat="1" applyFont="1" applyFill="1" applyBorder="1" applyAlignment="1">
      <alignment horizontal="center" vertical="top"/>
    </xf>
    <xf numFmtId="3" fontId="35" fillId="6" borderId="18" xfId="0" applyNumberFormat="1" applyFont="1" applyFill="1" applyBorder="1" applyAlignment="1">
      <alignment horizontal="center" vertical="top" wrapText="1"/>
    </xf>
    <xf numFmtId="3" fontId="16" fillId="6" borderId="18" xfId="0" applyNumberFormat="1" applyFont="1" applyFill="1" applyBorder="1" applyAlignment="1">
      <alignment horizontal="center" vertical="top" wrapText="1"/>
    </xf>
    <xf numFmtId="165" fontId="16" fillId="6" borderId="101" xfId="0" applyNumberFormat="1" applyFont="1" applyFill="1" applyBorder="1" applyAlignment="1">
      <alignment horizontal="center" vertical="top"/>
    </xf>
    <xf numFmtId="3" fontId="16" fillId="6" borderId="95" xfId="1" applyNumberFormat="1" applyFont="1" applyFill="1" applyBorder="1" applyAlignment="1">
      <alignment horizontal="center" vertical="top"/>
    </xf>
    <xf numFmtId="3" fontId="35" fillId="6" borderId="100" xfId="1" applyNumberFormat="1" applyFont="1" applyFill="1" applyBorder="1" applyAlignment="1">
      <alignment horizontal="center" vertical="top"/>
    </xf>
    <xf numFmtId="3" fontId="35" fillId="6" borderId="95" xfId="1" applyNumberFormat="1" applyFont="1" applyFill="1" applyBorder="1" applyAlignment="1">
      <alignment horizontal="center" vertical="top"/>
    </xf>
    <xf numFmtId="0" fontId="16" fillId="6" borderId="92" xfId="0" applyFont="1" applyFill="1" applyBorder="1" applyAlignment="1">
      <alignment horizontal="center" vertical="top"/>
    </xf>
    <xf numFmtId="165" fontId="16" fillId="6" borderId="96" xfId="0" applyNumberFormat="1" applyFont="1" applyFill="1" applyBorder="1" applyAlignment="1">
      <alignment horizontal="center" vertical="top"/>
    </xf>
    <xf numFmtId="165" fontId="16" fillId="6" borderId="90" xfId="0" applyNumberFormat="1" applyFont="1" applyFill="1" applyBorder="1" applyAlignment="1">
      <alignment horizontal="center" vertical="top"/>
    </xf>
    <xf numFmtId="165" fontId="16" fillId="6" borderId="100" xfId="0" applyNumberFormat="1" applyFont="1" applyFill="1" applyBorder="1" applyAlignment="1">
      <alignment horizontal="center" vertical="top"/>
    </xf>
    <xf numFmtId="0" fontId="16" fillId="6" borderId="8" xfId="0" applyFont="1" applyFill="1" applyBorder="1" applyAlignment="1">
      <alignment horizontal="center" vertical="top"/>
    </xf>
    <xf numFmtId="0" fontId="16" fillId="6" borderId="94" xfId="0" applyFont="1" applyFill="1" applyBorder="1" applyAlignment="1">
      <alignment horizontal="center" vertical="top"/>
    </xf>
    <xf numFmtId="165" fontId="16" fillId="6" borderId="88" xfId="0" applyNumberFormat="1" applyFont="1" applyFill="1" applyBorder="1" applyAlignment="1">
      <alignment horizontal="center" vertical="top"/>
    </xf>
    <xf numFmtId="165" fontId="16" fillId="6" borderId="89" xfId="0" applyNumberFormat="1" applyFont="1" applyFill="1" applyBorder="1" applyAlignment="1">
      <alignment horizontal="center" vertical="top"/>
    </xf>
    <xf numFmtId="165" fontId="16" fillId="6" borderId="98" xfId="0" applyNumberFormat="1" applyFont="1" applyFill="1" applyBorder="1" applyAlignment="1">
      <alignment horizontal="center" vertical="top"/>
    </xf>
    <xf numFmtId="165" fontId="16" fillId="6" borderId="97" xfId="0" applyNumberFormat="1" applyFont="1" applyFill="1" applyBorder="1" applyAlignment="1">
      <alignment horizontal="center" vertical="top"/>
    </xf>
    <xf numFmtId="3" fontId="35" fillId="6" borderId="100" xfId="0" applyNumberFormat="1" applyFont="1" applyFill="1" applyBorder="1" applyAlignment="1">
      <alignment horizontal="center" vertical="top"/>
    </xf>
    <xf numFmtId="3" fontId="16" fillId="6" borderId="97" xfId="0" applyNumberFormat="1" applyFont="1" applyFill="1" applyBorder="1" applyAlignment="1">
      <alignment horizontal="center" vertical="top"/>
    </xf>
    <xf numFmtId="165" fontId="16" fillId="0" borderId="74" xfId="0" applyNumberFormat="1" applyFont="1" applyFill="1" applyBorder="1" applyAlignment="1">
      <alignment horizontal="center" vertical="top" wrapText="1"/>
    </xf>
    <xf numFmtId="165" fontId="37" fillId="6" borderId="24" xfId="0" applyNumberFormat="1" applyFont="1" applyFill="1" applyBorder="1" applyAlignment="1">
      <alignment horizontal="center" vertical="top"/>
    </xf>
    <xf numFmtId="165" fontId="37" fillId="6" borderId="50" xfId="0" applyNumberFormat="1" applyFont="1" applyFill="1" applyBorder="1" applyAlignment="1">
      <alignment horizontal="center" vertical="top"/>
    </xf>
    <xf numFmtId="0" fontId="35" fillId="6" borderId="43" xfId="0" applyNumberFormat="1" applyFont="1" applyFill="1" applyBorder="1" applyAlignment="1">
      <alignment horizontal="center" vertical="top" wrapText="1"/>
    </xf>
    <xf numFmtId="0" fontId="16" fillId="6" borderId="46" xfId="0" applyNumberFormat="1" applyFont="1" applyFill="1" applyBorder="1" applyAlignment="1">
      <alignment horizontal="center" vertical="top" wrapText="1"/>
    </xf>
    <xf numFmtId="49" fontId="5" fillId="6" borderId="14" xfId="0" applyNumberFormat="1" applyFont="1" applyFill="1" applyBorder="1" applyAlignment="1">
      <alignment horizontal="center" vertical="top" wrapText="1"/>
    </xf>
    <xf numFmtId="49" fontId="5" fillId="6" borderId="16" xfId="0" applyNumberFormat="1" applyFont="1" applyFill="1" applyBorder="1" applyAlignment="1">
      <alignment horizontal="center" vertical="top"/>
    </xf>
    <xf numFmtId="49" fontId="5" fillId="8" borderId="14" xfId="0" applyNumberFormat="1" applyFont="1" applyFill="1" applyBorder="1" applyAlignment="1">
      <alignment horizontal="center" vertical="top" wrapText="1"/>
    </xf>
    <xf numFmtId="1" fontId="38" fillId="6" borderId="76" xfId="0" applyNumberFormat="1" applyFont="1" applyFill="1" applyBorder="1" applyAlignment="1">
      <alignment horizontal="center" vertical="top"/>
    </xf>
    <xf numFmtId="0" fontId="16" fillId="6" borderId="2" xfId="1" applyFont="1" applyFill="1" applyBorder="1" applyAlignment="1">
      <alignment vertical="top" wrapText="1"/>
    </xf>
    <xf numFmtId="3" fontId="3" fillId="6" borderId="15" xfId="0" applyNumberFormat="1" applyFont="1" applyFill="1" applyBorder="1" applyAlignment="1">
      <alignment horizontal="left" vertical="top" wrapText="1"/>
    </xf>
    <xf numFmtId="0" fontId="3" fillId="6" borderId="8" xfId="0" applyFont="1" applyFill="1" applyBorder="1" applyAlignment="1">
      <alignment horizontal="center" vertical="top" wrapText="1"/>
    </xf>
    <xf numFmtId="165" fontId="16" fillId="13" borderId="14" xfId="3" applyNumberFormat="1" applyFont="1" applyFill="1" applyBorder="1" applyAlignment="1">
      <alignment horizontal="center" vertical="top"/>
    </xf>
    <xf numFmtId="165" fontId="16" fillId="6" borderId="0" xfId="0" applyNumberFormat="1" applyFont="1" applyFill="1" applyBorder="1" applyAlignment="1">
      <alignment horizontal="center" vertical="top" wrapText="1"/>
    </xf>
    <xf numFmtId="49" fontId="35" fillId="6" borderId="14" xfId="0" applyNumberFormat="1" applyFont="1" applyFill="1" applyBorder="1" applyAlignment="1">
      <alignment horizontal="center" vertical="top" wrapText="1"/>
    </xf>
    <xf numFmtId="49" fontId="16" fillId="6" borderId="14" xfId="0" applyNumberFormat="1" applyFont="1" applyFill="1" applyBorder="1" applyAlignment="1">
      <alignment horizontal="center" vertical="top" wrapText="1"/>
    </xf>
    <xf numFmtId="49" fontId="16" fillId="6" borderId="46" xfId="0" applyNumberFormat="1" applyFont="1" applyFill="1" applyBorder="1" applyAlignment="1">
      <alignment horizontal="left" vertical="top" wrapText="1"/>
    </xf>
    <xf numFmtId="49" fontId="5" fillId="10" borderId="9" xfId="0" applyNumberFormat="1" applyFont="1" applyFill="1" applyBorder="1" applyAlignment="1">
      <alignment horizontal="center" vertical="top"/>
    </xf>
    <xf numFmtId="49" fontId="5" fillId="3" borderId="14"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49" fontId="5" fillId="6" borderId="14" xfId="0" applyNumberFormat="1" applyFont="1" applyFill="1" applyBorder="1" applyAlignment="1">
      <alignment horizontal="center" vertical="top"/>
    </xf>
    <xf numFmtId="0" fontId="3" fillId="6" borderId="46" xfId="0" applyFont="1" applyFill="1" applyBorder="1" applyAlignment="1">
      <alignment horizontal="left" vertical="top" wrapText="1"/>
    </xf>
    <xf numFmtId="0" fontId="3" fillId="6" borderId="46" xfId="0" applyFont="1" applyFill="1" applyBorder="1" applyAlignment="1">
      <alignment horizontal="center" vertical="center" textRotation="90" wrapText="1"/>
    </xf>
    <xf numFmtId="0" fontId="3" fillId="6" borderId="9" xfId="0" applyFont="1" applyFill="1" applyBorder="1" applyAlignment="1">
      <alignment horizontal="left" vertical="top" wrapText="1"/>
    </xf>
    <xf numFmtId="49" fontId="3" fillId="6" borderId="8" xfId="0" applyNumberFormat="1" applyFont="1" applyFill="1" applyBorder="1" applyAlignment="1">
      <alignment horizontal="center" vertical="top" wrapText="1"/>
    </xf>
    <xf numFmtId="49" fontId="5" fillId="8" borderId="14" xfId="0" applyNumberFormat="1" applyFont="1" applyFill="1" applyBorder="1" applyAlignment="1">
      <alignment horizontal="center" vertical="top"/>
    </xf>
    <xf numFmtId="0" fontId="3" fillId="6" borderId="41" xfId="0" applyFont="1" applyFill="1" applyBorder="1" applyAlignment="1">
      <alignment horizontal="left" vertical="top" wrapText="1"/>
    </xf>
    <xf numFmtId="0" fontId="3" fillId="6" borderId="8" xfId="0" applyFont="1" applyFill="1" applyBorder="1" applyAlignment="1">
      <alignment horizontal="center" vertical="top" wrapText="1"/>
    </xf>
    <xf numFmtId="49" fontId="5" fillId="3" borderId="46" xfId="0" applyNumberFormat="1" applyFont="1" applyFill="1" applyBorder="1" applyAlignment="1">
      <alignment horizontal="center" vertical="top"/>
    </xf>
    <xf numFmtId="0" fontId="3" fillId="6" borderId="41" xfId="0" applyFont="1" applyFill="1" applyBorder="1" applyAlignment="1">
      <alignment horizontal="left" vertical="top" wrapText="1"/>
    </xf>
    <xf numFmtId="0" fontId="21" fillId="6" borderId="8" xfId="0" applyFont="1" applyFill="1" applyBorder="1" applyAlignment="1">
      <alignment horizontal="center" vertical="top" wrapText="1"/>
    </xf>
    <xf numFmtId="165" fontId="21" fillId="6" borderId="8" xfId="0" applyNumberFormat="1" applyFont="1" applyFill="1" applyBorder="1" applyAlignment="1">
      <alignment horizontal="center" vertical="top"/>
    </xf>
    <xf numFmtId="165" fontId="21" fillId="6" borderId="0" xfId="0" applyNumberFormat="1" applyFont="1" applyFill="1" applyBorder="1" applyAlignment="1">
      <alignment horizontal="center" vertical="top"/>
    </xf>
    <xf numFmtId="3" fontId="21" fillId="6" borderId="46" xfId="0" applyNumberFormat="1" applyFont="1" applyFill="1" applyBorder="1" applyAlignment="1">
      <alignment horizontal="center" vertical="top" wrapText="1"/>
    </xf>
    <xf numFmtId="0" fontId="21" fillId="6" borderId="20" xfId="0" applyFont="1" applyFill="1" applyBorder="1" applyAlignment="1">
      <alignment horizontal="center" vertical="top" wrapText="1"/>
    </xf>
    <xf numFmtId="165" fontId="21" fillId="6" borderId="20" xfId="0" applyNumberFormat="1" applyFont="1" applyFill="1" applyBorder="1" applyAlignment="1">
      <alignment horizontal="center" vertical="top"/>
    </xf>
    <xf numFmtId="165" fontId="21" fillId="6" borderId="45" xfId="0" applyNumberFormat="1" applyFont="1" applyFill="1" applyBorder="1" applyAlignment="1">
      <alignment horizontal="center" vertical="top"/>
    </xf>
    <xf numFmtId="0" fontId="21" fillId="6" borderId="27" xfId="0" applyFont="1" applyFill="1" applyBorder="1" applyAlignment="1">
      <alignment horizontal="left" vertical="top" wrapText="1"/>
    </xf>
    <xf numFmtId="3" fontId="21" fillId="6" borderId="28" xfId="0" applyNumberFormat="1" applyFont="1" applyFill="1" applyBorder="1" applyAlignment="1">
      <alignment horizontal="center" vertical="top" wrapText="1"/>
    </xf>
    <xf numFmtId="49" fontId="21" fillId="6" borderId="14" xfId="0" applyNumberFormat="1" applyFont="1" applyFill="1" applyBorder="1" applyAlignment="1">
      <alignment horizontal="center" vertical="top" wrapText="1"/>
    </xf>
    <xf numFmtId="0" fontId="21" fillId="6" borderId="81" xfId="0" applyFont="1" applyFill="1" applyBorder="1" applyAlignment="1">
      <alignment vertical="top" wrapText="1"/>
    </xf>
    <xf numFmtId="1" fontId="21" fillId="6" borderId="102" xfId="0" applyNumberFormat="1" applyFont="1" applyFill="1" applyBorder="1" applyAlignment="1">
      <alignment horizontal="center" vertical="top" wrapText="1"/>
    </xf>
    <xf numFmtId="0" fontId="21" fillId="6" borderId="8" xfId="0" applyFont="1" applyFill="1" applyBorder="1" applyAlignment="1">
      <alignment horizontal="center" vertical="top"/>
    </xf>
    <xf numFmtId="3" fontId="21" fillId="6" borderId="14" xfId="0" applyNumberFormat="1" applyFont="1" applyFill="1" applyBorder="1" applyAlignment="1">
      <alignment horizontal="center" vertical="top"/>
    </xf>
    <xf numFmtId="0" fontId="21" fillId="6" borderId="36" xfId="0" applyFont="1" applyFill="1" applyBorder="1" applyAlignment="1">
      <alignment horizontal="left" vertical="top" wrapText="1"/>
    </xf>
    <xf numFmtId="3" fontId="21" fillId="6" borderId="30" xfId="0" applyNumberFormat="1" applyFont="1" applyFill="1" applyBorder="1" applyAlignment="1">
      <alignment horizontal="center" vertical="top" wrapText="1"/>
    </xf>
    <xf numFmtId="0" fontId="21" fillId="6" borderId="5" xfId="0" applyFont="1" applyFill="1" applyBorder="1" applyAlignment="1">
      <alignment horizontal="center" vertical="top"/>
    </xf>
    <xf numFmtId="165" fontId="21" fillId="6" borderId="5" xfId="0" applyNumberFormat="1" applyFont="1" applyFill="1" applyBorder="1" applyAlignment="1">
      <alignment horizontal="center" vertical="top"/>
    </xf>
    <xf numFmtId="165" fontId="21" fillId="6" borderId="38" xfId="0" applyNumberFormat="1" applyFont="1" applyFill="1" applyBorder="1" applyAlignment="1">
      <alignment horizontal="center" vertical="top"/>
    </xf>
    <xf numFmtId="0" fontId="21" fillId="6" borderId="20" xfId="0" applyFont="1" applyFill="1" applyBorder="1" applyAlignment="1">
      <alignment horizontal="center" vertical="top"/>
    </xf>
    <xf numFmtId="1" fontId="3" fillId="0" borderId="79" xfId="0" applyNumberFormat="1" applyFont="1" applyFill="1" applyBorder="1" applyAlignment="1">
      <alignment horizontal="center" vertical="top" wrapText="1"/>
    </xf>
    <xf numFmtId="165" fontId="21" fillId="6" borderId="27" xfId="0" applyNumberFormat="1" applyFont="1" applyFill="1" applyBorder="1" applyAlignment="1">
      <alignment horizontal="center" vertical="top"/>
    </xf>
    <xf numFmtId="165" fontId="21" fillId="6" borderId="36" xfId="0" applyNumberFormat="1" applyFont="1" applyFill="1" applyBorder="1" applyAlignment="1">
      <alignment horizontal="center" vertical="top"/>
    </xf>
    <xf numFmtId="1" fontId="21" fillId="6" borderId="46" xfId="0" applyNumberFormat="1" applyFont="1" applyFill="1" applyBorder="1" applyAlignment="1">
      <alignment horizontal="center" vertical="top" wrapText="1"/>
    </xf>
    <xf numFmtId="1" fontId="21" fillId="6" borderId="14" xfId="0" applyNumberFormat="1" applyFont="1" applyFill="1" applyBorder="1" applyAlignment="1">
      <alignment horizontal="center" vertical="top" wrapText="1"/>
    </xf>
    <xf numFmtId="0" fontId="28" fillId="6" borderId="108" xfId="0" applyFont="1" applyFill="1" applyBorder="1" applyAlignment="1">
      <alignment horizontal="center" vertical="top"/>
    </xf>
    <xf numFmtId="165" fontId="3" fillId="6" borderId="108" xfId="0" applyNumberFormat="1" applyFont="1" applyFill="1" applyBorder="1" applyAlignment="1">
      <alignment horizontal="center" vertical="top"/>
    </xf>
    <xf numFmtId="165" fontId="3" fillId="6" borderId="109" xfId="0" applyNumberFormat="1" applyFont="1" applyFill="1" applyBorder="1" applyAlignment="1">
      <alignment horizontal="center" vertical="top"/>
    </xf>
    <xf numFmtId="0" fontId="3" fillId="6" borderId="78" xfId="0" applyFont="1" applyFill="1" applyBorder="1" applyAlignment="1">
      <alignment vertical="top" wrapText="1"/>
    </xf>
    <xf numFmtId="3" fontId="21" fillId="6" borderId="30" xfId="1" applyNumberFormat="1" applyFont="1" applyFill="1" applyBorder="1" applyAlignment="1">
      <alignment horizontal="center" vertical="top"/>
    </xf>
    <xf numFmtId="0" fontId="3" fillId="6" borderId="88" xfId="1" applyFont="1" applyFill="1" applyBorder="1" applyAlignment="1">
      <alignment vertical="top" wrapText="1"/>
    </xf>
    <xf numFmtId="0" fontId="3" fillId="6" borderId="108" xfId="0" applyFont="1" applyFill="1" applyBorder="1" applyAlignment="1">
      <alignment horizontal="center" vertical="top"/>
    </xf>
    <xf numFmtId="3" fontId="3" fillId="6" borderId="95" xfId="1" applyNumberFormat="1" applyFont="1" applyFill="1" applyBorder="1" applyAlignment="1">
      <alignment horizontal="center" vertical="top" wrapText="1"/>
    </xf>
    <xf numFmtId="3" fontId="3" fillId="6" borderId="91" xfId="1" applyNumberFormat="1" applyFont="1" applyFill="1" applyBorder="1" applyAlignment="1">
      <alignment horizontal="center" vertical="top" wrapText="1"/>
    </xf>
    <xf numFmtId="165" fontId="3" fillId="6" borderId="101" xfId="0" applyNumberFormat="1" applyFont="1" applyFill="1" applyBorder="1" applyAlignment="1">
      <alignment horizontal="center" vertical="top"/>
    </xf>
    <xf numFmtId="0" fontId="38" fillId="6" borderId="90" xfId="0" applyFont="1" applyFill="1" applyBorder="1" applyAlignment="1">
      <alignment horizontal="center" vertical="center"/>
    </xf>
    <xf numFmtId="0" fontId="3" fillId="6" borderId="14" xfId="0" applyFont="1" applyFill="1" applyBorder="1" applyAlignment="1">
      <alignment horizontal="center" vertical="center"/>
    </xf>
    <xf numFmtId="0" fontId="3" fillId="6" borderId="71" xfId="0" applyFont="1" applyFill="1" applyBorder="1" applyAlignment="1">
      <alignment horizontal="center" vertical="center"/>
    </xf>
    <xf numFmtId="0" fontId="3" fillId="6" borderId="73" xfId="0" applyFont="1" applyFill="1" applyBorder="1" applyAlignment="1">
      <alignment vertical="center" wrapText="1"/>
    </xf>
    <xf numFmtId="0" fontId="3" fillId="6" borderId="49" xfId="0" applyFont="1" applyFill="1" applyBorder="1" applyAlignment="1">
      <alignment horizontal="center" vertical="center"/>
    </xf>
    <xf numFmtId="0" fontId="3" fillId="6" borderId="30" xfId="0" applyFont="1" applyFill="1" applyBorder="1" applyAlignment="1">
      <alignment horizontal="center" vertical="center"/>
    </xf>
    <xf numFmtId="0" fontId="3" fillId="6" borderId="51" xfId="0" applyFont="1" applyFill="1" applyBorder="1" applyAlignment="1">
      <alignment horizontal="center" vertical="center"/>
    </xf>
    <xf numFmtId="0" fontId="9" fillId="6" borderId="14" xfId="0" applyFont="1" applyFill="1" applyBorder="1" applyAlignment="1">
      <alignment horizontal="center" vertical="center" textRotation="90" wrapText="1"/>
    </xf>
    <xf numFmtId="3" fontId="21" fillId="6" borderId="0" xfId="0" applyNumberFormat="1" applyFont="1" applyFill="1" applyBorder="1" applyAlignment="1">
      <alignment horizontal="center" vertical="top"/>
    </xf>
    <xf numFmtId="165" fontId="21" fillId="6" borderId="61" xfId="0" applyNumberFormat="1" applyFont="1" applyFill="1" applyBorder="1" applyAlignment="1">
      <alignment horizontal="center" vertical="top"/>
    </xf>
    <xf numFmtId="3" fontId="21" fillId="6" borderId="30" xfId="0" applyNumberFormat="1" applyFont="1" applyFill="1" applyBorder="1" applyAlignment="1">
      <alignment horizontal="center" vertical="top"/>
    </xf>
    <xf numFmtId="3" fontId="21" fillId="6" borderId="45" xfId="0" applyNumberFormat="1" applyFont="1" applyFill="1" applyBorder="1" applyAlignment="1">
      <alignment horizontal="center" vertical="top"/>
    </xf>
    <xf numFmtId="3" fontId="3" fillId="6" borderId="85" xfId="0" applyNumberFormat="1" applyFont="1" applyFill="1" applyBorder="1" applyAlignment="1">
      <alignment horizontal="center" vertical="top"/>
    </xf>
    <xf numFmtId="3" fontId="3" fillId="6" borderId="83"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0" fontId="3" fillId="6" borderId="8" xfId="0" applyFont="1" applyFill="1" applyBorder="1" applyAlignment="1">
      <alignment horizontal="center" vertical="top" wrapText="1"/>
    </xf>
    <xf numFmtId="49" fontId="5" fillId="8" borderId="14" xfId="0" applyNumberFormat="1" applyFont="1" applyFill="1" applyBorder="1" applyAlignment="1">
      <alignment horizontal="center" vertical="top"/>
    </xf>
    <xf numFmtId="0" fontId="7" fillId="0" borderId="14" xfId="0" applyFont="1" applyBorder="1" applyAlignment="1">
      <alignment horizontal="center" vertical="center" textRotation="90" wrapText="1"/>
    </xf>
    <xf numFmtId="0" fontId="3" fillId="6" borderId="14" xfId="0" applyFont="1" applyFill="1" applyBorder="1" applyAlignment="1">
      <alignment vertical="top" wrapText="1"/>
    </xf>
    <xf numFmtId="0" fontId="3" fillId="6" borderId="30" xfId="0" applyFont="1" applyFill="1" applyBorder="1" applyAlignment="1">
      <alignment vertical="top" wrapText="1"/>
    </xf>
    <xf numFmtId="49" fontId="5" fillId="6" borderId="14" xfId="0" applyNumberFormat="1" applyFont="1" applyFill="1" applyBorder="1" applyAlignment="1">
      <alignment horizontal="center" vertical="top" wrapText="1"/>
    </xf>
    <xf numFmtId="49" fontId="5" fillId="8" borderId="14" xfId="0" applyNumberFormat="1" applyFont="1" applyFill="1" applyBorder="1" applyAlignment="1">
      <alignment horizontal="center" vertical="top" wrapText="1"/>
    </xf>
    <xf numFmtId="49" fontId="3" fillId="6" borderId="8" xfId="0" applyNumberFormat="1" applyFont="1" applyFill="1" applyBorder="1" applyAlignment="1">
      <alignment horizontal="center" vertical="top" wrapText="1"/>
    </xf>
    <xf numFmtId="49" fontId="5" fillId="6" borderId="30" xfId="0" applyNumberFormat="1" applyFont="1" applyFill="1" applyBorder="1" applyAlignment="1">
      <alignment horizontal="center" vertical="top" wrapText="1"/>
    </xf>
    <xf numFmtId="49" fontId="5" fillId="10" borderId="9" xfId="0" applyNumberFormat="1" applyFont="1" applyFill="1" applyBorder="1" applyAlignment="1">
      <alignment horizontal="center" vertical="top"/>
    </xf>
    <xf numFmtId="49" fontId="5" fillId="3" borderId="14"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0" fontId="3" fillId="6" borderId="53" xfId="0" applyFont="1" applyFill="1" applyBorder="1" applyAlignment="1">
      <alignment vertical="top" wrapText="1"/>
    </xf>
    <xf numFmtId="0" fontId="5" fillId="0" borderId="84" xfId="0" applyFont="1" applyFill="1" applyBorder="1" applyAlignment="1">
      <alignment horizontal="center" vertical="top" wrapText="1"/>
    </xf>
    <xf numFmtId="3" fontId="3" fillId="0" borderId="40" xfId="0" applyNumberFormat="1" applyFont="1" applyFill="1" applyBorder="1" applyAlignment="1">
      <alignment horizontal="center" vertical="top"/>
    </xf>
    <xf numFmtId="3" fontId="3" fillId="0" borderId="49" xfId="0" applyNumberFormat="1" applyFont="1" applyFill="1" applyBorder="1" applyAlignment="1">
      <alignment horizontal="center" vertical="top"/>
    </xf>
    <xf numFmtId="0" fontId="5" fillId="0" borderId="17" xfId="0" applyFont="1" applyFill="1" applyBorder="1" applyAlignment="1">
      <alignment horizontal="center" vertical="top" wrapText="1"/>
    </xf>
    <xf numFmtId="3" fontId="3" fillId="0" borderId="48" xfId="0" applyNumberFormat="1" applyFont="1" applyFill="1" applyBorder="1" applyAlignment="1">
      <alignment horizontal="center" vertical="top"/>
    </xf>
    <xf numFmtId="0" fontId="11" fillId="6" borderId="2" xfId="0" applyFont="1" applyFill="1" applyBorder="1" applyAlignment="1">
      <alignment vertical="top" wrapText="1"/>
    </xf>
    <xf numFmtId="3" fontId="21" fillId="0" borderId="14" xfId="0" applyNumberFormat="1" applyFont="1" applyFill="1" applyBorder="1" applyAlignment="1">
      <alignment horizontal="center" vertical="top"/>
    </xf>
    <xf numFmtId="0" fontId="21" fillId="6" borderId="30" xfId="0" applyFont="1" applyFill="1" applyBorder="1" applyAlignment="1">
      <alignment vertical="top" wrapText="1"/>
    </xf>
    <xf numFmtId="0" fontId="29" fillId="6" borderId="17" xfId="0" applyFont="1" applyFill="1" applyBorder="1" applyAlignment="1">
      <alignment horizontal="center" vertical="top" wrapText="1"/>
    </xf>
    <xf numFmtId="49" fontId="21" fillId="6" borderId="20" xfId="0" applyNumberFormat="1" applyFont="1" applyFill="1" applyBorder="1" applyAlignment="1">
      <alignment horizontal="center" vertical="top" wrapText="1"/>
    </xf>
    <xf numFmtId="3" fontId="21" fillId="0" borderId="30" xfId="0" applyNumberFormat="1" applyFont="1" applyFill="1" applyBorder="1" applyAlignment="1">
      <alignment horizontal="center" vertical="top"/>
    </xf>
    <xf numFmtId="3" fontId="21" fillId="0" borderId="45" xfId="0" applyNumberFormat="1" applyFont="1" applyFill="1" applyBorder="1" applyAlignment="1">
      <alignment horizontal="center" vertical="top"/>
    </xf>
    <xf numFmtId="3" fontId="21" fillId="0" borderId="28" xfId="0" applyNumberFormat="1" applyFont="1" applyFill="1" applyBorder="1" applyAlignment="1">
      <alignment horizontal="center" vertical="top"/>
    </xf>
    <xf numFmtId="0" fontId="11" fillId="6" borderId="30" xfId="0" applyFont="1" applyFill="1" applyBorder="1" applyAlignment="1">
      <alignment vertical="top" wrapText="1"/>
    </xf>
    <xf numFmtId="0" fontId="3" fillId="0" borderId="34" xfId="0" applyFont="1" applyFill="1" applyBorder="1" applyAlignment="1">
      <alignment horizontal="left" vertical="top" wrapText="1"/>
    </xf>
    <xf numFmtId="49" fontId="21" fillId="6" borderId="8" xfId="0" applyNumberFormat="1" applyFont="1" applyFill="1" applyBorder="1" applyAlignment="1">
      <alignment horizontal="center" vertical="top" wrapText="1"/>
    </xf>
    <xf numFmtId="0" fontId="3" fillId="6" borderId="66" xfId="0" applyFont="1" applyFill="1" applyBorder="1" applyAlignment="1">
      <alignment horizontal="center" vertical="top" wrapText="1"/>
    </xf>
    <xf numFmtId="0" fontId="3" fillId="0" borderId="33" xfId="0" applyFont="1" applyFill="1" applyBorder="1" applyAlignment="1">
      <alignment horizontal="center" vertical="top" wrapText="1"/>
    </xf>
    <xf numFmtId="0" fontId="21" fillId="6" borderId="61" xfId="0" applyFont="1" applyFill="1" applyBorder="1" applyAlignment="1">
      <alignment horizontal="center" vertical="top" wrapText="1"/>
    </xf>
    <xf numFmtId="164" fontId="11" fillId="6" borderId="39" xfId="0" applyNumberFormat="1" applyFont="1" applyFill="1" applyBorder="1" applyAlignment="1">
      <alignment horizontal="center" vertical="top" wrapText="1"/>
    </xf>
    <xf numFmtId="0" fontId="3" fillId="6" borderId="34" xfId="0" applyFont="1" applyFill="1" applyBorder="1" applyAlignment="1">
      <alignment horizontal="left" vertical="top" wrapText="1"/>
    </xf>
    <xf numFmtId="0" fontId="21" fillId="6" borderId="34" xfId="0" applyFont="1" applyFill="1" applyBorder="1" applyAlignment="1">
      <alignment horizontal="left" vertical="top" wrapText="1"/>
    </xf>
    <xf numFmtId="164" fontId="11" fillId="6" borderId="19" xfId="0" applyNumberFormat="1" applyFont="1" applyFill="1" applyBorder="1" applyAlignment="1">
      <alignment horizontal="center" vertical="top" wrapText="1"/>
    </xf>
    <xf numFmtId="0" fontId="11" fillId="6" borderId="19" xfId="0" applyFont="1" applyFill="1" applyBorder="1" applyAlignment="1">
      <alignment horizontal="center" vertical="top" wrapText="1"/>
    </xf>
    <xf numFmtId="0" fontId="5" fillId="6" borderId="47" xfId="0" applyFont="1" applyFill="1" applyBorder="1" applyAlignment="1">
      <alignment horizontal="center" vertical="top" wrapText="1"/>
    </xf>
    <xf numFmtId="49" fontId="3" fillId="6" borderId="28" xfId="0" applyNumberFormat="1" applyFont="1" applyFill="1" applyBorder="1" applyAlignment="1">
      <alignment horizontal="center" vertical="top" wrapText="1"/>
    </xf>
    <xf numFmtId="3" fontId="11" fillId="6" borderId="53" xfId="0" applyNumberFormat="1" applyFont="1" applyFill="1" applyBorder="1" applyAlignment="1">
      <alignment horizontal="center" vertical="top"/>
    </xf>
    <xf numFmtId="165" fontId="11" fillId="6" borderId="5" xfId="0" applyNumberFormat="1" applyFont="1" applyFill="1" applyBorder="1" applyAlignment="1">
      <alignment horizontal="center" vertical="top"/>
    </xf>
    <xf numFmtId="3" fontId="3" fillId="6" borderId="41" xfId="0" applyNumberFormat="1" applyFont="1" applyFill="1" applyBorder="1" applyAlignment="1">
      <alignment vertical="top" wrapText="1"/>
    </xf>
    <xf numFmtId="0" fontId="3" fillId="6" borderId="44" xfId="0" applyNumberFormat="1" applyFont="1" applyFill="1" applyBorder="1" applyAlignment="1">
      <alignment horizontal="center" vertical="top" wrapText="1"/>
    </xf>
    <xf numFmtId="0" fontId="3" fillId="6" borderId="1" xfId="0" applyNumberFormat="1" applyFont="1" applyFill="1" applyBorder="1" applyAlignment="1">
      <alignment horizontal="center" vertical="top" wrapText="1"/>
    </xf>
    <xf numFmtId="0" fontId="21" fillId="0" borderId="27" xfId="0" applyFont="1" applyBorder="1" applyAlignment="1">
      <alignment vertical="top" wrapText="1"/>
    </xf>
    <xf numFmtId="0" fontId="3" fillId="6" borderId="28" xfId="0" applyNumberFormat="1" applyFont="1" applyFill="1" applyBorder="1" applyAlignment="1">
      <alignment vertical="top" wrapText="1"/>
    </xf>
    <xf numFmtId="0" fontId="3" fillId="6" borderId="29" xfId="0" applyNumberFormat="1" applyFont="1" applyFill="1" applyBorder="1" applyAlignment="1">
      <alignment vertical="top" wrapText="1"/>
    </xf>
    <xf numFmtId="0" fontId="3" fillId="6" borderId="110" xfId="0" applyFont="1" applyFill="1" applyBorder="1" applyAlignment="1">
      <alignment vertical="top" wrapText="1"/>
    </xf>
    <xf numFmtId="3" fontId="3" fillId="6" borderId="82" xfId="0" applyNumberFormat="1" applyFont="1" applyFill="1" applyBorder="1" applyAlignment="1">
      <alignment horizontal="center" vertical="top" wrapText="1"/>
    </xf>
    <xf numFmtId="165" fontId="3" fillId="13" borderId="20" xfId="3" applyNumberFormat="1" applyFont="1" applyFill="1" applyBorder="1" applyAlignment="1">
      <alignment horizontal="center" vertical="top"/>
    </xf>
    <xf numFmtId="49" fontId="29" fillId="6" borderId="46" xfId="0" applyNumberFormat="1" applyFont="1" applyFill="1" applyBorder="1" applyAlignment="1">
      <alignment horizontal="center" vertical="top"/>
    </xf>
    <xf numFmtId="3" fontId="21" fillId="6" borderId="44" xfId="0" applyNumberFormat="1" applyFont="1" applyFill="1" applyBorder="1" applyAlignment="1">
      <alignment horizontal="center" vertical="top"/>
    </xf>
    <xf numFmtId="165" fontId="21" fillId="6" borderId="8" xfId="0" applyNumberFormat="1" applyFont="1" applyFill="1" applyBorder="1" applyAlignment="1">
      <alignment horizontal="center" vertical="top" wrapText="1"/>
    </xf>
    <xf numFmtId="165" fontId="21" fillId="6" borderId="49" xfId="0" applyNumberFormat="1" applyFont="1" applyFill="1" applyBorder="1" applyAlignment="1">
      <alignment horizontal="center" vertical="top" wrapText="1"/>
    </xf>
    <xf numFmtId="3" fontId="21" fillId="6" borderId="46" xfId="0" applyNumberFormat="1" applyFont="1" applyFill="1" applyBorder="1" applyAlignment="1">
      <alignment horizontal="center" vertical="top"/>
    </xf>
    <xf numFmtId="49" fontId="29" fillId="6" borderId="30" xfId="0" applyNumberFormat="1" applyFont="1" applyFill="1" applyBorder="1" applyAlignment="1">
      <alignment vertical="top"/>
    </xf>
    <xf numFmtId="165" fontId="29" fillId="6" borderId="20"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0" fontId="3" fillId="6" borderId="9" xfId="1" applyFont="1" applyFill="1" applyBorder="1" applyAlignment="1">
      <alignment vertical="top" wrapText="1"/>
    </xf>
    <xf numFmtId="49" fontId="3" fillId="6" borderId="8" xfId="0" applyNumberFormat="1" applyFont="1" applyFill="1" applyBorder="1" applyAlignment="1">
      <alignment horizontal="center" vertical="center" wrapText="1"/>
    </xf>
    <xf numFmtId="0" fontId="7" fillId="6" borderId="8" xfId="0" applyFont="1" applyFill="1" applyBorder="1" applyAlignment="1">
      <alignment horizontal="center" vertical="top" wrapText="1"/>
    </xf>
    <xf numFmtId="49" fontId="5" fillId="8" borderId="14" xfId="0" applyNumberFormat="1" applyFont="1" applyFill="1" applyBorder="1" applyAlignment="1">
      <alignment horizontal="center" vertical="top"/>
    </xf>
    <xf numFmtId="0" fontId="3" fillId="6" borderId="36" xfId="0" applyFont="1" applyFill="1" applyBorder="1" applyAlignment="1">
      <alignment vertical="top" wrapText="1"/>
    </xf>
    <xf numFmtId="49" fontId="5" fillId="10" borderId="9" xfId="0" applyNumberFormat="1" applyFont="1" applyFill="1" applyBorder="1" applyAlignment="1">
      <alignment horizontal="center" vertical="top"/>
    </xf>
    <xf numFmtId="49" fontId="5" fillId="3" borderId="14" xfId="0" applyNumberFormat="1" applyFont="1" applyFill="1" applyBorder="1" applyAlignment="1">
      <alignment horizontal="center" vertical="top"/>
    </xf>
    <xf numFmtId="0" fontId="3" fillId="6" borderId="9" xfId="1" applyFont="1" applyFill="1" applyBorder="1" applyAlignment="1">
      <alignment vertical="top" wrapText="1"/>
    </xf>
    <xf numFmtId="0" fontId="21" fillId="6" borderId="27" xfId="0" applyFont="1" applyFill="1" applyBorder="1" applyAlignment="1">
      <alignment horizontal="left" vertical="top" wrapText="1"/>
    </xf>
    <xf numFmtId="165" fontId="21" fillId="6" borderId="49" xfId="0" applyNumberFormat="1" applyFont="1" applyFill="1" applyBorder="1" applyAlignment="1">
      <alignment horizontal="center" vertical="top"/>
    </xf>
    <xf numFmtId="0" fontId="3" fillId="6" borderId="18" xfId="0" applyFont="1" applyFill="1" applyBorder="1" applyAlignment="1">
      <alignment horizontal="center" vertical="center" textRotation="90" wrapText="1"/>
    </xf>
    <xf numFmtId="0" fontId="3" fillId="6" borderId="14" xfId="0" applyFont="1" applyFill="1" applyBorder="1" applyAlignment="1">
      <alignment horizontal="center" vertical="center" textRotation="90" wrapText="1"/>
    </xf>
    <xf numFmtId="49" fontId="5" fillId="10" borderId="9" xfId="0" applyNumberFormat="1" applyFont="1" applyFill="1" applyBorder="1" applyAlignment="1">
      <alignment horizontal="center" vertical="top"/>
    </xf>
    <xf numFmtId="49" fontId="5" fillId="6" borderId="14"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0" fontId="3" fillId="6" borderId="35" xfId="0" applyFont="1" applyFill="1" applyBorder="1" applyAlignment="1">
      <alignment horizontal="center" vertical="center" textRotation="90" wrapText="1"/>
    </xf>
    <xf numFmtId="0" fontId="3" fillId="6" borderId="9" xfId="0" applyFont="1" applyFill="1" applyBorder="1" applyAlignment="1">
      <alignment vertical="top" wrapText="1"/>
    </xf>
    <xf numFmtId="0" fontId="3" fillId="6" borderId="8" xfId="0" applyFont="1" applyFill="1" applyBorder="1" applyAlignment="1">
      <alignment horizontal="center" vertical="top" wrapText="1"/>
    </xf>
    <xf numFmtId="49" fontId="5" fillId="8" borderId="14"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0" fontId="21" fillId="6" borderId="14" xfId="0" applyFont="1" applyFill="1" applyBorder="1" applyAlignment="1">
      <alignment horizontal="left" vertical="top" wrapText="1"/>
    </xf>
    <xf numFmtId="0" fontId="21" fillId="6" borderId="30" xfId="0" applyFont="1" applyFill="1" applyBorder="1" applyAlignment="1">
      <alignment horizontal="left" vertical="top" wrapText="1"/>
    </xf>
    <xf numFmtId="0" fontId="21" fillId="6" borderId="46" xfId="0" applyFont="1" applyFill="1" applyBorder="1" applyAlignment="1">
      <alignment horizontal="center" vertical="top"/>
    </xf>
    <xf numFmtId="0" fontId="21" fillId="6" borderId="74" xfId="0" applyFont="1" applyFill="1" applyBorder="1" applyAlignment="1">
      <alignment horizontal="left" vertical="top" wrapText="1"/>
    </xf>
    <xf numFmtId="0" fontId="21" fillId="6" borderId="28" xfId="0" applyFont="1" applyFill="1" applyBorder="1" applyAlignment="1">
      <alignment horizontal="center" vertical="top"/>
    </xf>
    <xf numFmtId="165" fontId="3" fillId="0" borderId="0" xfId="0" applyNumberFormat="1" applyFont="1" applyFill="1" applyBorder="1" applyAlignment="1">
      <alignment vertical="top"/>
    </xf>
    <xf numFmtId="0" fontId="3" fillId="6" borderId="35" xfId="0" applyFont="1" applyFill="1" applyBorder="1" applyAlignment="1">
      <alignment horizontal="left" vertical="top" wrapText="1"/>
    </xf>
    <xf numFmtId="0" fontId="21" fillId="6" borderId="35" xfId="0" applyFont="1" applyFill="1" applyBorder="1" applyAlignment="1">
      <alignment horizontal="left" vertical="top" wrapText="1"/>
    </xf>
    <xf numFmtId="0" fontId="3" fillId="6" borderId="2" xfId="0" applyFont="1" applyFill="1" applyBorder="1" applyAlignment="1">
      <alignment horizontal="left" vertical="top" wrapText="1"/>
    </xf>
    <xf numFmtId="0" fontId="3" fillId="6" borderId="35" xfId="0" applyFont="1" applyFill="1" applyBorder="1" applyAlignment="1">
      <alignment horizontal="center" vertical="center" textRotation="90" wrapText="1"/>
    </xf>
    <xf numFmtId="0" fontId="3" fillId="6" borderId="17" xfId="0" applyFont="1" applyFill="1" applyBorder="1" applyAlignment="1">
      <alignment horizontal="center" vertical="center" textRotation="90" wrapText="1"/>
    </xf>
    <xf numFmtId="0" fontId="7" fillId="6" borderId="14" xfId="0" applyFont="1" applyFill="1" applyBorder="1" applyAlignment="1">
      <alignment vertical="top" wrapText="1"/>
    </xf>
    <xf numFmtId="0" fontId="3" fillId="6" borderId="94" xfId="0" applyFont="1" applyFill="1" applyBorder="1" applyAlignment="1">
      <alignment horizontal="center" vertical="top"/>
    </xf>
    <xf numFmtId="0" fontId="3" fillId="6" borderId="101" xfId="0" applyFont="1" applyFill="1" applyBorder="1" applyAlignment="1">
      <alignment horizontal="center" vertical="center"/>
    </xf>
    <xf numFmtId="0" fontId="3" fillId="6" borderId="82" xfId="0" applyFont="1" applyFill="1" applyBorder="1" applyAlignment="1">
      <alignment horizontal="center" vertical="center"/>
    </xf>
    <xf numFmtId="0" fontId="3" fillId="6" borderId="85" xfId="0" applyFont="1" applyFill="1" applyBorder="1" applyAlignment="1">
      <alignment horizontal="center" vertical="center"/>
    </xf>
    <xf numFmtId="0" fontId="3" fillId="6" borderId="14" xfId="0" applyFont="1" applyFill="1" applyBorder="1" applyAlignment="1">
      <alignment horizontal="left" vertical="top" wrapText="1"/>
    </xf>
    <xf numFmtId="0" fontId="5" fillId="6" borderId="14" xfId="0" applyFont="1" applyFill="1" applyBorder="1" applyAlignment="1">
      <alignment horizontal="center" vertical="top" wrapText="1"/>
    </xf>
    <xf numFmtId="0" fontId="3" fillId="6" borderId="90" xfId="0" applyFont="1" applyFill="1" applyBorder="1" applyAlignment="1">
      <alignment horizontal="left" vertical="top" wrapText="1"/>
    </xf>
    <xf numFmtId="0" fontId="3" fillId="6" borderId="82" xfId="0" applyFont="1" applyFill="1" applyBorder="1" applyAlignment="1">
      <alignment horizontal="left" vertical="top" wrapText="1"/>
    </xf>
    <xf numFmtId="0" fontId="3" fillId="6" borderId="111" xfId="0" applyFont="1" applyFill="1" applyBorder="1" applyAlignment="1">
      <alignment horizontal="left" vertical="top" wrapText="1"/>
    </xf>
    <xf numFmtId="0" fontId="3" fillId="6" borderId="112" xfId="0" applyFont="1" applyFill="1" applyBorder="1" applyAlignment="1">
      <alignment horizontal="left" vertical="top" wrapText="1"/>
    </xf>
    <xf numFmtId="0" fontId="5" fillId="6" borderId="2" xfId="0" applyFont="1" applyFill="1" applyBorder="1" applyAlignment="1">
      <alignment horizontal="center" vertical="top" wrapText="1"/>
    </xf>
    <xf numFmtId="0" fontId="3" fillId="14" borderId="74" xfId="0" applyFont="1" applyFill="1" applyBorder="1" applyAlignment="1">
      <alignment vertical="top" wrapText="1"/>
    </xf>
    <xf numFmtId="0" fontId="3" fillId="6" borderId="87" xfId="1" applyFont="1" applyFill="1" applyBorder="1" applyAlignment="1">
      <alignment horizontal="left" vertical="top" wrapText="1"/>
    </xf>
    <xf numFmtId="0" fontId="5" fillId="6" borderId="30" xfId="0" applyFont="1" applyFill="1" applyBorder="1" applyAlignment="1">
      <alignment horizontal="center" vertical="center"/>
    </xf>
    <xf numFmtId="0" fontId="3" fillId="6" borderId="41" xfId="0" applyFont="1" applyFill="1" applyBorder="1" applyAlignment="1">
      <alignment vertical="top" wrapText="1"/>
    </xf>
    <xf numFmtId="0" fontId="3" fillId="6" borderId="96" xfId="0" applyFont="1" applyFill="1" applyBorder="1" applyAlignment="1">
      <alignment horizontal="left" vertical="top" wrapText="1"/>
    </xf>
    <xf numFmtId="0" fontId="3" fillId="6" borderId="9" xfId="0" applyFont="1" applyFill="1" applyBorder="1" applyAlignment="1">
      <alignment vertical="top" wrapText="1"/>
    </xf>
    <xf numFmtId="0" fontId="3" fillId="6" borderId="66" xfId="0" applyFont="1" applyFill="1" applyBorder="1" applyAlignment="1">
      <alignment vertical="top" wrapText="1"/>
    </xf>
    <xf numFmtId="165" fontId="3" fillId="6" borderId="99" xfId="0" applyNumberFormat="1" applyFont="1" applyFill="1" applyBorder="1" applyAlignment="1">
      <alignment horizontal="center" vertical="top"/>
    </xf>
    <xf numFmtId="0" fontId="25" fillId="6" borderId="96" xfId="0" applyFont="1" applyFill="1" applyBorder="1" applyAlignment="1">
      <alignment horizontal="left" vertical="top" wrapText="1"/>
    </xf>
    <xf numFmtId="0" fontId="3" fillId="6" borderId="36" xfId="0" applyFont="1" applyFill="1" applyBorder="1" applyAlignment="1">
      <alignment vertical="top"/>
    </xf>
    <xf numFmtId="0" fontId="21" fillId="6" borderId="73" xfId="0" applyFont="1" applyFill="1" applyBorder="1" applyAlignment="1">
      <alignment vertical="top" wrapText="1"/>
    </xf>
    <xf numFmtId="0" fontId="3" fillId="6" borderId="36" xfId="0" applyFont="1" applyFill="1" applyBorder="1" applyAlignment="1">
      <alignment vertical="top" wrapText="1"/>
    </xf>
    <xf numFmtId="0" fontId="3" fillId="6" borderId="9" xfId="0" applyFont="1" applyFill="1" applyBorder="1" applyAlignment="1">
      <alignment vertical="top" wrapText="1"/>
    </xf>
    <xf numFmtId="0" fontId="3" fillId="6" borderId="83" xfId="0" applyFont="1" applyFill="1" applyBorder="1" applyAlignment="1">
      <alignment horizontal="center" vertical="center"/>
    </xf>
    <xf numFmtId="3" fontId="3" fillId="8" borderId="32" xfId="0" applyNumberFormat="1" applyFont="1" applyFill="1" applyBorder="1" applyAlignment="1">
      <alignment horizontal="center" vertical="top"/>
    </xf>
    <xf numFmtId="3" fontId="16" fillId="6" borderId="28" xfId="1" applyNumberFormat="1" applyFont="1" applyFill="1" applyBorder="1" applyAlignment="1">
      <alignment horizontal="center" vertical="top"/>
    </xf>
    <xf numFmtId="3" fontId="16" fillId="6" borderId="29" xfId="1"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3" borderId="14" xfId="0" applyNumberFormat="1" applyFont="1" applyFill="1" applyBorder="1" applyAlignment="1">
      <alignment horizontal="center" vertical="top"/>
    </xf>
    <xf numFmtId="49" fontId="5" fillId="8" borderId="14" xfId="0" applyNumberFormat="1" applyFont="1" applyFill="1" applyBorder="1" applyAlignment="1">
      <alignment horizontal="center" vertical="top"/>
    </xf>
    <xf numFmtId="0" fontId="3" fillId="0" borderId="0" xfId="0" applyFont="1" applyBorder="1" applyAlignment="1">
      <alignment horizontal="left" vertical="top" wrapText="1"/>
    </xf>
    <xf numFmtId="49" fontId="5" fillId="8" borderId="14" xfId="0" applyNumberFormat="1" applyFont="1" applyFill="1" applyBorder="1" applyAlignment="1">
      <alignment horizontal="center" vertical="top" wrapText="1"/>
    </xf>
    <xf numFmtId="49" fontId="3" fillId="6" borderId="8" xfId="0" applyNumberFormat="1" applyFont="1" applyFill="1" applyBorder="1" applyAlignment="1">
      <alignment horizontal="center" vertical="top" wrapText="1"/>
    </xf>
    <xf numFmtId="0" fontId="5" fillId="6" borderId="30" xfId="0" applyFont="1" applyFill="1" applyBorder="1" applyAlignment="1">
      <alignment horizontal="center" vertical="top" wrapText="1"/>
    </xf>
    <xf numFmtId="0" fontId="7" fillId="0" borderId="20" xfId="0" applyFont="1" applyBorder="1" applyAlignment="1">
      <alignment horizontal="center" vertical="top" wrapText="1"/>
    </xf>
    <xf numFmtId="0" fontId="3" fillId="14" borderId="30" xfId="0" applyFont="1" applyFill="1" applyBorder="1" applyAlignment="1">
      <alignment vertical="top" wrapText="1"/>
    </xf>
    <xf numFmtId="165" fontId="3" fillId="0" borderId="27" xfId="0" applyNumberFormat="1" applyFont="1" applyFill="1" applyBorder="1" applyAlignment="1">
      <alignment horizontal="center" vertical="top"/>
    </xf>
    <xf numFmtId="49" fontId="5" fillId="8" borderId="14" xfId="0" applyNumberFormat="1" applyFont="1" applyFill="1" applyBorder="1" applyAlignment="1">
      <alignment horizontal="center" vertical="top" wrapText="1"/>
    </xf>
    <xf numFmtId="49" fontId="3" fillId="6" borderId="8" xfId="0" applyNumberFormat="1" applyFont="1" applyFill="1" applyBorder="1" applyAlignment="1">
      <alignment horizontal="center" vertical="top" wrapText="1"/>
    </xf>
    <xf numFmtId="0" fontId="21" fillId="6" borderId="30" xfId="0" applyFont="1" applyFill="1" applyBorder="1" applyAlignment="1">
      <alignment vertical="top" wrapText="1"/>
    </xf>
    <xf numFmtId="0" fontId="3" fillId="6" borderId="9" xfId="1" applyFont="1" applyFill="1" applyBorder="1" applyAlignment="1">
      <alignment vertical="top" wrapText="1"/>
    </xf>
    <xf numFmtId="3" fontId="3" fillId="6" borderId="2" xfId="0" applyNumberFormat="1" applyFont="1" applyFill="1" applyBorder="1" applyAlignment="1">
      <alignment horizontal="center" vertical="top"/>
    </xf>
    <xf numFmtId="3" fontId="21" fillId="6" borderId="2" xfId="0" applyNumberFormat="1" applyFont="1" applyFill="1" applyBorder="1" applyAlignment="1">
      <alignment horizontal="center" vertical="top"/>
    </xf>
    <xf numFmtId="3" fontId="3" fillId="6" borderId="39" xfId="0" applyNumberFormat="1" applyFont="1" applyFill="1" applyBorder="1" applyAlignment="1">
      <alignment horizontal="center" vertical="top"/>
    </xf>
    <xf numFmtId="3" fontId="3" fillId="6" borderId="33" xfId="0" applyNumberFormat="1" applyFont="1" applyFill="1" applyBorder="1" applyAlignment="1">
      <alignment horizontal="center" vertical="top"/>
    </xf>
    <xf numFmtId="3" fontId="3" fillId="6" borderId="82" xfId="0" applyNumberFormat="1" applyFont="1" applyFill="1" applyBorder="1" applyAlignment="1">
      <alignment horizontal="center" vertical="top"/>
    </xf>
    <xf numFmtId="3" fontId="16" fillId="6" borderId="93" xfId="0" applyNumberFormat="1" applyFont="1" applyFill="1" applyBorder="1" applyAlignment="1">
      <alignment horizontal="center" vertical="top"/>
    </xf>
    <xf numFmtId="3" fontId="16" fillId="6" borderId="71"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0" fontId="3" fillId="6" borderId="9" xfId="1" applyFont="1" applyFill="1" applyBorder="1" applyAlignment="1">
      <alignment vertical="top" wrapText="1"/>
    </xf>
    <xf numFmtId="49" fontId="5" fillId="3" borderId="46" xfId="0" applyNumberFormat="1" applyFont="1" applyFill="1" applyBorder="1" applyAlignment="1">
      <alignment horizontal="center" vertical="top"/>
    </xf>
    <xf numFmtId="49" fontId="5" fillId="6" borderId="14" xfId="0" applyNumberFormat="1" applyFont="1" applyFill="1" applyBorder="1" applyAlignment="1">
      <alignment horizontal="center" vertical="top"/>
    </xf>
    <xf numFmtId="0" fontId="3" fillId="6" borderId="41" xfId="1" applyFont="1" applyFill="1" applyBorder="1" applyAlignment="1">
      <alignment vertical="top" wrapText="1"/>
    </xf>
    <xf numFmtId="0" fontId="3" fillId="6" borderId="27" xfId="1" applyFont="1" applyFill="1" applyBorder="1" applyAlignment="1">
      <alignment vertical="top" wrapText="1"/>
    </xf>
    <xf numFmtId="49" fontId="5" fillId="8" borderId="14" xfId="0" applyNumberFormat="1" applyFont="1" applyFill="1" applyBorder="1" applyAlignment="1">
      <alignment horizontal="center" vertical="top"/>
    </xf>
    <xf numFmtId="49" fontId="5" fillId="6" borderId="30" xfId="0" applyNumberFormat="1" applyFont="1" applyFill="1" applyBorder="1" applyAlignment="1">
      <alignment horizontal="center" vertical="top"/>
    </xf>
    <xf numFmtId="0" fontId="3" fillId="6" borderId="8" xfId="0" applyFont="1" applyFill="1" applyBorder="1" applyAlignment="1">
      <alignment horizontal="center" vertical="top" wrapText="1"/>
    </xf>
    <xf numFmtId="3" fontId="5" fillId="6" borderId="46" xfId="0" applyNumberFormat="1" applyFont="1" applyFill="1" applyBorder="1" applyAlignment="1">
      <alignment horizontal="center" vertical="top" wrapText="1"/>
    </xf>
    <xf numFmtId="49" fontId="5" fillId="10" borderId="9" xfId="0" applyNumberFormat="1" applyFont="1" applyFill="1" applyBorder="1" applyAlignment="1">
      <alignment horizontal="center" vertical="top"/>
    </xf>
    <xf numFmtId="49" fontId="5" fillId="3" borderId="14" xfId="0" applyNumberFormat="1" applyFont="1" applyFill="1" applyBorder="1" applyAlignment="1">
      <alignment horizontal="center" vertical="top"/>
    </xf>
    <xf numFmtId="49" fontId="5" fillId="6" borderId="14" xfId="0" applyNumberFormat="1" applyFont="1" applyFill="1" applyBorder="1" applyAlignment="1">
      <alignment horizontal="center" vertical="top"/>
    </xf>
    <xf numFmtId="0" fontId="3" fillId="6" borderId="88" xfId="0" applyFont="1" applyFill="1" applyBorder="1" applyAlignment="1">
      <alignment horizontal="left" vertical="top" wrapText="1"/>
    </xf>
    <xf numFmtId="0" fontId="3" fillId="6" borderId="36" xfId="0" applyFont="1" applyFill="1" applyBorder="1" applyAlignment="1">
      <alignment vertical="top" wrapText="1"/>
    </xf>
    <xf numFmtId="0" fontId="3" fillId="6" borderId="9" xfId="0" applyFont="1" applyFill="1" applyBorder="1" applyAlignment="1">
      <alignment vertical="top" wrapText="1"/>
    </xf>
    <xf numFmtId="49" fontId="5" fillId="8" borderId="14" xfId="0" applyNumberFormat="1" applyFont="1" applyFill="1" applyBorder="1" applyAlignment="1">
      <alignment horizontal="center" vertical="top"/>
    </xf>
    <xf numFmtId="0" fontId="3" fillId="6" borderId="86" xfId="0" applyFont="1" applyFill="1" applyBorder="1" applyAlignment="1">
      <alignment horizontal="left" vertical="top" wrapText="1"/>
    </xf>
    <xf numFmtId="0" fontId="3" fillId="6" borderId="87" xfId="0" applyFont="1" applyFill="1" applyBorder="1" applyAlignment="1">
      <alignment horizontal="left" vertical="top" wrapText="1"/>
    </xf>
    <xf numFmtId="0" fontId="3" fillId="6" borderId="36" xfId="0" applyFont="1" applyFill="1" applyBorder="1" applyAlignment="1">
      <alignment horizontal="left" vertical="top" wrapText="1"/>
    </xf>
    <xf numFmtId="0" fontId="3" fillId="6" borderId="8" xfId="0" applyFont="1" applyFill="1" applyBorder="1" applyAlignment="1">
      <alignment horizontal="center" vertical="top" wrapText="1"/>
    </xf>
    <xf numFmtId="0" fontId="39" fillId="6" borderId="46" xfId="0" applyFont="1" applyFill="1" applyBorder="1" applyAlignment="1">
      <alignment horizontal="center" vertical="center" textRotation="90" wrapText="1"/>
    </xf>
    <xf numFmtId="0" fontId="39" fillId="0" borderId="46" xfId="0" applyFont="1" applyBorder="1" applyAlignment="1">
      <alignment horizontal="center" vertical="center" textRotation="90" wrapText="1"/>
    </xf>
    <xf numFmtId="49" fontId="5" fillId="10" borderId="9"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49" fontId="5" fillId="6" borderId="14" xfId="0" applyNumberFormat="1" applyFont="1" applyFill="1" applyBorder="1" applyAlignment="1">
      <alignment horizontal="center" vertical="top"/>
    </xf>
    <xf numFmtId="49" fontId="5" fillId="8" borderId="14" xfId="0" applyNumberFormat="1" applyFont="1" applyFill="1" applyBorder="1" applyAlignment="1">
      <alignment horizontal="center" vertical="top"/>
    </xf>
    <xf numFmtId="3" fontId="5" fillId="6" borderId="46" xfId="0" applyNumberFormat="1" applyFont="1" applyFill="1" applyBorder="1" applyAlignment="1">
      <alignment horizontal="center" vertical="top" wrapText="1"/>
    </xf>
    <xf numFmtId="164" fontId="3" fillId="6" borderId="85" xfId="0" applyNumberFormat="1" applyFont="1" applyFill="1" applyBorder="1" applyAlignment="1">
      <alignment horizontal="center" vertical="top"/>
    </xf>
    <xf numFmtId="164" fontId="3" fillId="6" borderId="83" xfId="0" applyNumberFormat="1" applyFont="1" applyFill="1" applyBorder="1" applyAlignment="1">
      <alignment horizontal="center" vertical="top"/>
    </xf>
    <xf numFmtId="0" fontId="3" fillId="6" borderId="9" xfId="0" applyFont="1" applyFill="1" applyBorder="1" applyAlignment="1">
      <alignment horizontal="left" vertical="top" wrapText="1"/>
    </xf>
    <xf numFmtId="49" fontId="5" fillId="10" borderId="9"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0" fontId="3" fillId="6" borderId="41" xfId="1" applyFont="1" applyFill="1" applyBorder="1" applyAlignment="1">
      <alignment vertical="top" wrapText="1"/>
    </xf>
    <xf numFmtId="0" fontId="7" fillId="6" borderId="27" xfId="0" applyFont="1" applyFill="1" applyBorder="1" applyAlignment="1">
      <alignment vertical="top" wrapText="1"/>
    </xf>
    <xf numFmtId="0" fontId="3" fillId="6" borderId="7" xfId="0" applyFont="1" applyFill="1" applyBorder="1" applyAlignment="1">
      <alignment horizontal="left" vertical="top" wrapText="1"/>
    </xf>
    <xf numFmtId="0" fontId="3" fillId="6" borderId="9" xfId="0" applyFont="1" applyFill="1" applyBorder="1" applyAlignment="1">
      <alignment vertical="top" wrapText="1"/>
    </xf>
    <xf numFmtId="49" fontId="5" fillId="8" borderId="14" xfId="0" applyNumberFormat="1" applyFont="1" applyFill="1" applyBorder="1" applyAlignment="1">
      <alignment horizontal="center" vertical="top"/>
    </xf>
    <xf numFmtId="0" fontId="3" fillId="6" borderId="8" xfId="0" applyFont="1" applyFill="1" applyBorder="1" applyAlignment="1">
      <alignment horizontal="center" vertical="top" wrapText="1"/>
    </xf>
    <xf numFmtId="0" fontId="7" fillId="6" borderId="14" xfId="0" applyFont="1" applyFill="1" applyBorder="1" applyAlignment="1">
      <alignment vertical="top" wrapText="1"/>
    </xf>
    <xf numFmtId="49" fontId="5" fillId="6" borderId="14" xfId="0" applyNumberFormat="1" applyFont="1" applyFill="1" applyBorder="1" applyAlignment="1">
      <alignment horizontal="center" vertical="top"/>
    </xf>
    <xf numFmtId="0" fontId="3" fillId="6" borderId="35" xfId="0" applyFont="1" applyFill="1" applyBorder="1" applyAlignment="1">
      <alignment horizontal="center" vertical="center" textRotation="90" wrapText="1"/>
    </xf>
    <xf numFmtId="49" fontId="5" fillId="6" borderId="46"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49" fontId="5" fillId="6" borderId="30" xfId="0" applyNumberFormat="1" applyFont="1" applyFill="1" applyBorder="1" applyAlignment="1">
      <alignment horizontal="center" vertical="top"/>
    </xf>
    <xf numFmtId="49" fontId="5" fillId="6" borderId="18" xfId="0" applyNumberFormat="1" applyFont="1" applyFill="1" applyBorder="1" applyAlignment="1">
      <alignment horizontal="center" vertical="top" wrapText="1"/>
    </xf>
    <xf numFmtId="49" fontId="5" fillId="10" borderId="36" xfId="0" applyNumberFormat="1" applyFont="1" applyFill="1" applyBorder="1" applyAlignment="1">
      <alignment horizontal="center" vertical="top" wrapText="1"/>
    </xf>
    <xf numFmtId="49" fontId="5" fillId="8" borderId="0" xfId="0" applyNumberFormat="1" applyFont="1" applyFill="1" applyBorder="1" applyAlignment="1">
      <alignment horizontal="center" vertical="top" wrapText="1"/>
    </xf>
    <xf numFmtId="0" fontId="5" fillId="6" borderId="0" xfId="0" applyFont="1" applyFill="1" applyBorder="1" applyAlignment="1">
      <alignment horizontal="center" vertical="top" wrapText="1"/>
    </xf>
    <xf numFmtId="0" fontId="7" fillId="6" borderId="36" xfId="0" applyFont="1" applyFill="1" applyBorder="1" applyAlignment="1">
      <alignment horizontal="left" vertical="top" wrapText="1"/>
    </xf>
    <xf numFmtId="0" fontId="7" fillId="6" borderId="67" xfId="0" applyFont="1" applyFill="1" applyBorder="1" applyAlignment="1">
      <alignment horizontal="left" vertical="top" wrapText="1"/>
    </xf>
    <xf numFmtId="3" fontId="3" fillId="6" borderId="24" xfId="0" applyNumberFormat="1" applyFont="1" applyFill="1" applyBorder="1" applyAlignment="1">
      <alignment horizontal="center" vertical="top"/>
    </xf>
    <xf numFmtId="0" fontId="3" fillId="6" borderId="53" xfId="0" applyFont="1" applyFill="1" applyBorder="1" applyAlignment="1">
      <alignment horizontal="center" vertical="top" wrapText="1"/>
    </xf>
    <xf numFmtId="165" fontId="3" fillId="6" borderId="27" xfId="0" applyNumberFormat="1" applyFont="1" applyFill="1" applyBorder="1" applyAlignment="1">
      <alignment vertical="top" wrapText="1"/>
    </xf>
    <xf numFmtId="49" fontId="11" fillId="6" borderId="14" xfId="0" applyNumberFormat="1" applyFont="1" applyFill="1" applyBorder="1" applyAlignment="1">
      <alignment horizontal="center" vertical="top" wrapText="1"/>
    </xf>
    <xf numFmtId="49" fontId="11" fillId="6" borderId="30" xfId="0" applyNumberFormat="1" applyFont="1" applyFill="1" applyBorder="1" applyAlignment="1">
      <alignment horizontal="center" vertical="top" wrapText="1"/>
    </xf>
    <xf numFmtId="49" fontId="5" fillId="10" borderId="9" xfId="0" applyNumberFormat="1" applyFont="1" applyFill="1" applyBorder="1" applyAlignment="1">
      <alignment horizontal="center" vertical="top"/>
    </xf>
    <xf numFmtId="49" fontId="5" fillId="3" borderId="14" xfId="0" applyNumberFormat="1" applyFont="1" applyFill="1" applyBorder="1" applyAlignment="1">
      <alignment horizontal="center" vertical="top"/>
    </xf>
    <xf numFmtId="0" fontId="3" fillId="6" borderId="9" xfId="1" applyFont="1" applyFill="1" applyBorder="1" applyAlignment="1">
      <alignment vertical="top" wrapText="1"/>
    </xf>
    <xf numFmtId="0" fontId="3" fillId="6" borderId="87" xfId="0" applyFont="1" applyFill="1" applyBorder="1" applyAlignment="1">
      <alignment horizontal="left" vertical="top" wrapText="1"/>
    </xf>
    <xf numFmtId="0" fontId="3" fillId="6" borderId="86" xfId="0" applyFont="1" applyFill="1" applyBorder="1" applyAlignment="1">
      <alignment horizontal="left" vertical="top" wrapText="1"/>
    </xf>
    <xf numFmtId="0" fontId="21" fillId="6" borderId="92" xfId="0" applyFont="1" applyFill="1" applyBorder="1" applyAlignment="1">
      <alignment horizontal="center" vertical="top" wrapText="1"/>
    </xf>
    <xf numFmtId="165" fontId="21" fillId="6" borderId="92" xfId="0" applyNumberFormat="1" applyFont="1" applyFill="1" applyBorder="1" applyAlignment="1">
      <alignment horizontal="center" vertical="top"/>
    </xf>
    <xf numFmtId="165" fontId="3" fillId="6" borderId="100" xfId="0" applyNumberFormat="1" applyFont="1" applyFill="1" applyBorder="1" applyAlignment="1">
      <alignment horizontal="center" vertical="top"/>
    </xf>
    <xf numFmtId="0" fontId="21" fillId="6" borderId="94" xfId="0" applyFont="1" applyFill="1" applyBorder="1" applyAlignment="1">
      <alignment horizontal="center" vertical="top" wrapText="1"/>
    </xf>
    <xf numFmtId="165" fontId="21" fillId="6" borderId="94" xfId="0" applyNumberFormat="1" applyFont="1" applyFill="1" applyBorder="1" applyAlignment="1">
      <alignment horizontal="center" vertical="top"/>
    </xf>
    <xf numFmtId="3" fontId="21" fillId="6" borderId="93" xfId="0" applyNumberFormat="1" applyFont="1" applyFill="1" applyBorder="1" applyAlignment="1">
      <alignment horizontal="center" vertical="top" wrapText="1"/>
    </xf>
    <xf numFmtId="49" fontId="5" fillId="10" borderId="9" xfId="0" applyNumberFormat="1" applyFont="1" applyFill="1" applyBorder="1" applyAlignment="1">
      <alignment horizontal="center" vertical="top"/>
    </xf>
    <xf numFmtId="49" fontId="5" fillId="6" borderId="14"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0" fontId="3" fillId="6" borderId="46" xfId="0" applyFont="1" applyFill="1" applyBorder="1" applyAlignment="1">
      <alignment horizontal="center" vertical="center" textRotation="90" wrapText="1"/>
    </xf>
    <xf numFmtId="0" fontId="3" fillId="6" borderId="46" xfId="0" applyFont="1" applyFill="1" applyBorder="1" applyAlignment="1">
      <alignment horizontal="left" vertical="top" wrapText="1"/>
    </xf>
    <xf numFmtId="49" fontId="5" fillId="8" borderId="14" xfId="0" applyNumberFormat="1" applyFont="1" applyFill="1" applyBorder="1" applyAlignment="1">
      <alignment horizontal="center" vertical="top"/>
    </xf>
    <xf numFmtId="49" fontId="3" fillId="6" borderId="8" xfId="0" applyNumberFormat="1" applyFont="1" applyFill="1" applyBorder="1" applyAlignment="1">
      <alignment horizontal="center" vertical="top" wrapText="1"/>
    </xf>
    <xf numFmtId="0" fontId="3" fillId="6" borderId="41" xfId="0" applyFont="1" applyFill="1" applyBorder="1" applyAlignment="1">
      <alignment vertical="top" wrapText="1"/>
    </xf>
    <xf numFmtId="49" fontId="5" fillId="6" borderId="14"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0" fontId="3" fillId="6" borderId="35" xfId="0" applyFont="1" applyFill="1" applyBorder="1" applyAlignment="1">
      <alignment horizontal="center" vertical="center" textRotation="90" wrapText="1"/>
    </xf>
    <xf numFmtId="49" fontId="3" fillId="6" borderId="8" xfId="0" applyNumberFormat="1" applyFont="1" applyFill="1" applyBorder="1" applyAlignment="1">
      <alignment horizontal="center" vertical="top" wrapText="1"/>
    </xf>
    <xf numFmtId="1" fontId="16" fillId="6" borderId="18" xfId="0" applyNumberFormat="1" applyFont="1" applyFill="1" applyBorder="1" applyAlignment="1">
      <alignment horizontal="center" vertical="top" wrapText="1"/>
    </xf>
    <xf numFmtId="1" fontId="3" fillId="6" borderId="38" xfId="0" applyNumberFormat="1" applyFont="1" applyFill="1" applyBorder="1" applyAlignment="1">
      <alignment horizontal="center" vertical="top" wrapText="1"/>
    </xf>
    <xf numFmtId="1" fontId="3" fillId="6" borderId="44" xfId="0" applyNumberFormat="1" applyFont="1" applyFill="1" applyBorder="1" applyAlignment="1">
      <alignment horizontal="center" vertical="top" wrapText="1"/>
    </xf>
    <xf numFmtId="1" fontId="3" fillId="6" borderId="1" xfId="0" applyNumberFormat="1" applyFont="1" applyFill="1" applyBorder="1" applyAlignment="1">
      <alignment horizontal="center" vertical="top" wrapText="1"/>
    </xf>
    <xf numFmtId="0" fontId="3" fillId="6" borderId="8" xfId="0" applyFont="1" applyFill="1" applyBorder="1" applyAlignment="1">
      <alignment horizontal="center" vertical="top" wrapText="1"/>
    </xf>
    <xf numFmtId="0" fontId="3" fillId="6" borderId="44" xfId="0" applyFont="1" applyFill="1" applyBorder="1" applyAlignment="1">
      <alignment horizontal="center" vertical="center" textRotation="90" wrapText="1"/>
    </xf>
    <xf numFmtId="0" fontId="3" fillId="6" borderId="46" xfId="0" applyFont="1" applyFill="1" applyBorder="1" applyAlignment="1">
      <alignment horizontal="center" vertical="center" textRotation="90" wrapText="1"/>
    </xf>
    <xf numFmtId="49" fontId="3" fillId="6" borderId="8" xfId="0" applyNumberFormat="1" applyFont="1" applyFill="1" applyBorder="1" applyAlignment="1">
      <alignment horizontal="center" vertical="top" wrapText="1"/>
    </xf>
    <xf numFmtId="49" fontId="3" fillId="6" borderId="8" xfId="0" applyNumberFormat="1" applyFont="1" applyFill="1" applyBorder="1" applyAlignment="1">
      <alignment horizontal="center" vertical="center" wrapText="1"/>
    </xf>
    <xf numFmtId="49" fontId="21" fillId="6" borderId="8" xfId="0" applyNumberFormat="1" applyFont="1" applyFill="1" applyBorder="1" applyAlignment="1">
      <alignment horizontal="center" vertical="center" wrapText="1"/>
    </xf>
    <xf numFmtId="49" fontId="21" fillId="6" borderId="20" xfId="0" applyNumberFormat="1" applyFont="1" applyFill="1" applyBorder="1" applyAlignment="1">
      <alignment horizontal="center" vertical="center" wrapText="1"/>
    </xf>
    <xf numFmtId="49" fontId="3" fillId="6" borderId="20" xfId="0" applyNumberFormat="1" applyFont="1" applyFill="1" applyBorder="1" applyAlignment="1">
      <alignment horizontal="center" vertical="center" wrapText="1"/>
    </xf>
    <xf numFmtId="0" fontId="5" fillId="6" borderId="44" xfId="0" applyFont="1" applyFill="1" applyBorder="1" applyAlignment="1">
      <alignment horizontal="center" vertical="center" wrapText="1"/>
    </xf>
    <xf numFmtId="0" fontId="5" fillId="6" borderId="46" xfId="0" applyFont="1" applyFill="1" applyBorder="1" applyAlignment="1">
      <alignment horizontal="center" vertical="center" wrapText="1"/>
    </xf>
    <xf numFmtId="0" fontId="3" fillId="6" borderId="28" xfId="0" applyFont="1" applyFill="1" applyBorder="1" applyAlignment="1">
      <alignment horizontal="center" vertical="center" textRotation="90" wrapText="1"/>
    </xf>
    <xf numFmtId="0" fontId="5" fillId="15" borderId="0" xfId="0" applyFont="1" applyFill="1" applyBorder="1" applyAlignment="1">
      <alignment horizontal="center" vertical="center" wrapText="1"/>
    </xf>
    <xf numFmtId="3" fontId="5" fillId="6" borderId="44" xfId="0" applyNumberFormat="1" applyFont="1" applyFill="1" applyBorder="1" applyAlignment="1">
      <alignment horizontal="center" vertical="top"/>
    </xf>
    <xf numFmtId="3" fontId="5" fillId="6" borderId="46" xfId="0" applyNumberFormat="1" applyFont="1" applyFill="1" applyBorder="1" applyAlignment="1">
      <alignment horizontal="center" vertical="top"/>
    </xf>
    <xf numFmtId="0" fontId="24" fillId="6" borderId="46" xfId="0" applyFont="1" applyFill="1" applyBorder="1" applyAlignment="1">
      <alignment wrapText="1"/>
    </xf>
    <xf numFmtId="0" fontId="3" fillId="6" borderId="38" xfId="0" applyFont="1" applyFill="1" applyBorder="1" applyAlignment="1">
      <alignment horizontal="center" vertical="center" textRotation="90" wrapText="1"/>
    </xf>
    <xf numFmtId="0" fontId="3" fillId="6" borderId="0" xfId="0" applyFont="1" applyFill="1" applyBorder="1" applyAlignment="1">
      <alignment horizontal="center" vertical="top" wrapText="1"/>
    </xf>
    <xf numFmtId="0" fontId="21" fillId="6" borderId="46" xfId="0" applyFont="1" applyFill="1" applyBorder="1" applyAlignment="1">
      <alignment horizontal="center" vertical="center" textRotation="90" wrapText="1"/>
    </xf>
    <xf numFmtId="0" fontId="21" fillId="6" borderId="28" xfId="0" applyFont="1" applyFill="1" applyBorder="1" applyAlignment="1">
      <alignment horizontal="center" vertical="center" textRotation="90" wrapText="1"/>
    </xf>
    <xf numFmtId="49" fontId="5" fillId="6" borderId="42" xfId="0" applyNumberFormat="1" applyFont="1" applyFill="1" applyBorder="1" applyAlignment="1">
      <alignment horizontal="center" vertical="top"/>
    </xf>
    <xf numFmtId="49" fontId="5" fillId="6" borderId="8" xfId="0" applyNumberFormat="1" applyFont="1" applyFill="1" applyBorder="1" applyAlignment="1">
      <alignment horizontal="center" vertical="top"/>
    </xf>
    <xf numFmtId="0" fontId="7" fillId="6" borderId="8" xfId="0" applyFont="1" applyFill="1" applyBorder="1" applyAlignment="1">
      <alignment horizontal="center" vertical="top"/>
    </xf>
    <xf numFmtId="0" fontId="3" fillId="6" borderId="14" xfId="0" applyFont="1" applyFill="1" applyBorder="1" applyAlignment="1">
      <alignment horizontal="center" vertical="center" textRotation="90" wrapText="1"/>
    </xf>
    <xf numFmtId="0" fontId="3" fillId="6" borderId="30" xfId="0" applyFont="1" applyFill="1" applyBorder="1" applyAlignment="1">
      <alignment horizontal="center" vertical="center" textRotation="90" wrapText="1"/>
    </xf>
    <xf numFmtId="49" fontId="5" fillId="6" borderId="14" xfId="0" applyNumberFormat="1" applyFont="1" applyFill="1" applyBorder="1" applyAlignment="1">
      <alignment horizontal="center" vertical="top"/>
    </xf>
    <xf numFmtId="0" fontId="3" fillId="6" borderId="30" xfId="0" applyFont="1" applyFill="1" applyBorder="1" applyAlignment="1">
      <alignment horizontal="left" vertical="top" wrapText="1"/>
    </xf>
    <xf numFmtId="49" fontId="5" fillId="3" borderId="46" xfId="0" applyNumberFormat="1" applyFont="1" applyFill="1" applyBorder="1" applyAlignment="1">
      <alignment horizontal="center" vertical="top"/>
    </xf>
    <xf numFmtId="49" fontId="3" fillId="6" borderId="8" xfId="0" applyNumberFormat="1" applyFont="1" applyFill="1" applyBorder="1" applyAlignment="1">
      <alignment horizontal="center" vertical="top" wrapText="1"/>
    </xf>
    <xf numFmtId="49" fontId="3" fillId="6" borderId="20" xfId="0" applyNumberFormat="1" applyFont="1" applyFill="1" applyBorder="1" applyAlignment="1">
      <alignment horizontal="center" vertical="top" wrapText="1"/>
    </xf>
    <xf numFmtId="49" fontId="5" fillId="6" borderId="30" xfId="0" applyNumberFormat="1" applyFont="1" applyFill="1" applyBorder="1" applyAlignment="1">
      <alignment horizontal="center" vertical="top"/>
    </xf>
    <xf numFmtId="3" fontId="3" fillId="6" borderId="77" xfId="1" applyNumberFormat="1" applyFont="1" applyFill="1" applyBorder="1" applyAlignment="1">
      <alignment horizontal="center" vertical="top"/>
    </xf>
    <xf numFmtId="3" fontId="5" fillId="0" borderId="68" xfId="0" applyNumberFormat="1" applyFont="1" applyBorder="1" applyAlignment="1">
      <alignment horizontal="center" vertical="top" wrapText="1"/>
    </xf>
    <xf numFmtId="0" fontId="5" fillId="0" borderId="21" xfId="0" applyFont="1" applyBorder="1" applyAlignment="1">
      <alignment horizontal="center" vertical="top" wrapText="1"/>
    </xf>
    <xf numFmtId="0" fontId="5" fillId="14" borderId="101" xfId="0" applyFont="1" applyFill="1" applyBorder="1" applyAlignment="1">
      <alignment horizontal="center" vertical="top" wrapText="1"/>
    </xf>
    <xf numFmtId="0" fontId="5" fillId="15" borderId="98" xfId="0" applyFont="1" applyFill="1" applyBorder="1" applyAlignment="1">
      <alignment horizontal="center" vertical="center" wrapText="1"/>
    </xf>
    <xf numFmtId="0" fontId="5" fillId="15" borderId="44" xfId="0" applyFont="1" applyFill="1" applyBorder="1" applyAlignment="1">
      <alignment horizontal="center" vertical="center" wrapText="1"/>
    </xf>
    <xf numFmtId="0" fontId="5" fillId="15" borderId="29" xfId="0" applyFont="1" applyFill="1" applyBorder="1" applyAlignment="1">
      <alignment horizontal="center" vertical="center" wrapText="1"/>
    </xf>
    <xf numFmtId="3" fontId="3" fillId="6" borderId="113" xfId="0" applyNumberFormat="1" applyFont="1" applyFill="1" applyBorder="1" applyAlignment="1">
      <alignment horizontal="center" vertical="top" wrapText="1"/>
    </xf>
    <xf numFmtId="0" fontId="3" fillId="0" borderId="27" xfId="0" applyFont="1" applyBorder="1" applyAlignment="1">
      <alignment vertical="top" wrapText="1"/>
    </xf>
    <xf numFmtId="49" fontId="5" fillId="10" borderId="9" xfId="0" applyNumberFormat="1" applyFont="1" applyFill="1" applyBorder="1" applyAlignment="1">
      <alignment horizontal="center" vertical="top"/>
    </xf>
    <xf numFmtId="49" fontId="5" fillId="6" borderId="14"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0" fontId="3" fillId="6" borderId="46" xfId="0" applyFont="1" applyFill="1" applyBorder="1" applyAlignment="1">
      <alignment horizontal="center" vertical="center" textRotation="90" wrapText="1"/>
    </xf>
    <xf numFmtId="0" fontId="3" fillId="6" borderId="88" xfId="0" applyFont="1" applyFill="1" applyBorder="1" applyAlignment="1">
      <alignment horizontal="left" vertical="top" wrapText="1"/>
    </xf>
    <xf numFmtId="0" fontId="3" fillId="6" borderId="46" xfId="0" applyFont="1" applyFill="1" applyBorder="1" applyAlignment="1">
      <alignment horizontal="left" vertical="top" wrapText="1"/>
    </xf>
    <xf numFmtId="49" fontId="5" fillId="8" borderId="14" xfId="0" applyNumberFormat="1" applyFont="1" applyFill="1" applyBorder="1" applyAlignment="1">
      <alignment horizontal="center" vertical="top"/>
    </xf>
    <xf numFmtId="49" fontId="3" fillId="6" borderId="8" xfId="0" applyNumberFormat="1" applyFont="1" applyFill="1" applyBorder="1" applyAlignment="1">
      <alignment horizontal="center" vertical="top" wrapText="1"/>
    </xf>
    <xf numFmtId="1" fontId="3" fillId="6" borderId="93" xfId="0" applyNumberFormat="1" applyFont="1" applyFill="1" applyBorder="1" applyAlignment="1">
      <alignment horizontal="center" vertical="top" wrapText="1"/>
    </xf>
    <xf numFmtId="1" fontId="3" fillId="6" borderId="89" xfId="0" applyNumberFormat="1" applyFont="1" applyFill="1" applyBorder="1" applyAlignment="1">
      <alignment horizontal="center" vertical="top" wrapText="1"/>
    </xf>
    <xf numFmtId="1" fontId="3" fillId="6" borderId="71" xfId="0" applyNumberFormat="1" applyFont="1" applyFill="1" applyBorder="1" applyAlignment="1">
      <alignment horizontal="center" vertical="top" wrapText="1"/>
    </xf>
    <xf numFmtId="0" fontId="3" fillId="6" borderId="46" xfId="0" applyFont="1" applyFill="1" applyBorder="1" applyAlignment="1">
      <alignment horizontal="center" vertical="center" textRotation="90" wrapText="1"/>
    </xf>
    <xf numFmtId="49" fontId="3" fillId="6" borderId="8" xfId="0" applyNumberFormat="1" applyFont="1" applyFill="1" applyBorder="1" applyAlignment="1">
      <alignment horizontal="center" vertical="center" wrapText="1"/>
    </xf>
    <xf numFmtId="3" fontId="5" fillId="15" borderId="46" xfId="0" applyNumberFormat="1" applyFont="1" applyFill="1" applyBorder="1" applyAlignment="1">
      <alignment horizontal="center" vertical="top"/>
    </xf>
    <xf numFmtId="0" fontId="24" fillId="15" borderId="46" xfId="0" applyFont="1" applyFill="1" applyBorder="1" applyAlignment="1">
      <alignment wrapText="1"/>
    </xf>
    <xf numFmtId="0" fontId="24" fillId="15" borderId="28" xfId="0" applyFont="1" applyFill="1" applyBorder="1" applyAlignment="1">
      <alignment wrapText="1"/>
    </xf>
    <xf numFmtId="0" fontId="42" fillId="0" borderId="16" xfId="0" applyFont="1" applyBorder="1" applyAlignment="1">
      <alignment horizontal="center" vertical="center" wrapText="1"/>
    </xf>
    <xf numFmtId="0" fontId="3" fillId="6" borderId="9" xfId="1" applyFont="1" applyFill="1" applyBorder="1" applyAlignment="1">
      <alignment horizontal="left" vertical="top" wrapText="1"/>
    </xf>
    <xf numFmtId="0" fontId="3" fillId="6" borderId="9" xfId="0" applyFont="1" applyFill="1" applyBorder="1" applyAlignment="1">
      <alignment horizontal="left" vertical="top" wrapText="1"/>
    </xf>
    <xf numFmtId="0" fontId="3" fillId="6" borderId="27" xfId="0" applyFont="1" applyFill="1" applyBorder="1" applyAlignment="1">
      <alignment horizontal="left" vertical="top" wrapText="1"/>
    </xf>
    <xf numFmtId="0" fontId="3" fillId="6" borderId="14" xfId="0" applyFont="1" applyFill="1" applyBorder="1" applyAlignment="1">
      <alignment horizontal="center" vertical="center" textRotation="90" wrapText="1"/>
    </xf>
    <xf numFmtId="0" fontId="3" fillId="6" borderId="14" xfId="0" applyFont="1" applyFill="1" applyBorder="1" applyAlignment="1">
      <alignment horizontal="left" vertical="top" wrapText="1"/>
    </xf>
    <xf numFmtId="49" fontId="5" fillId="10" borderId="9" xfId="0" applyNumberFormat="1" applyFont="1" applyFill="1" applyBorder="1" applyAlignment="1">
      <alignment horizontal="center" vertical="top"/>
    </xf>
    <xf numFmtId="49" fontId="5" fillId="3" borderId="14" xfId="0" applyNumberFormat="1" applyFont="1" applyFill="1" applyBorder="1" applyAlignment="1">
      <alignment horizontal="center" vertical="top"/>
    </xf>
    <xf numFmtId="49" fontId="5" fillId="6" borderId="14" xfId="0" applyNumberFormat="1" applyFont="1" applyFill="1" applyBorder="1" applyAlignment="1">
      <alignment horizontal="center" vertical="top"/>
    </xf>
    <xf numFmtId="49" fontId="5" fillId="6" borderId="46"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0" fontId="3" fillId="6" borderId="46" xfId="0" applyFont="1" applyFill="1" applyBorder="1" applyAlignment="1">
      <alignment horizontal="center" vertical="center" textRotation="90" wrapText="1"/>
    </xf>
    <xf numFmtId="0" fontId="3" fillId="6" borderId="35" xfId="0" applyFont="1" applyFill="1" applyBorder="1" applyAlignment="1">
      <alignment horizontal="center" vertical="center" textRotation="90" wrapText="1"/>
    </xf>
    <xf numFmtId="0" fontId="3" fillId="6" borderId="17" xfId="0" applyFont="1" applyFill="1" applyBorder="1" applyAlignment="1">
      <alignment horizontal="center" vertical="center" textRotation="90" wrapText="1"/>
    </xf>
    <xf numFmtId="0" fontId="3" fillId="6" borderId="46" xfId="0" applyFont="1" applyFill="1" applyBorder="1" applyAlignment="1">
      <alignment horizontal="left" vertical="top" wrapText="1"/>
    </xf>
    <xf numFmtId="49" fontId="5" fillId="3" borderId="55" xfId="0" applyNumberFormat="1" applyFont="1" applyFill="1" applyBorder="1" applyAlignment="1">
      <alignment horizontal="center" vertical="top"/>
    </xf>
    <xf numFmtId="0" fontId="3" fillId="6" borderId="9" xfId="1" applyFont="1" applyFill="1" applyBorder="1" applyAlignment="1">
      <alignment vertical="top" wrapText="1"/>
    </xf>
    <xf numFmtId="0" fontId="3" fillId="6" borderId="18" xfId="0" applyFont="1" applyFill="1" applyBorder="1" applyAlignment="1">
      <alignment vertical="top" wrapText="1"/>
    </xf>
    <xf numFmtId="0" fontId="7" fillId="0" borderId="14" xfId="0" applyFont="1" applyBorder="1" applyAlignment="1">
      <alignment horizontal="left" vertical="top" wrapText="1"/>
    </xf>
    <xf numFmtId="49" fontId="5" fillId="8" borderId="14"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49" fontId="3" fillId="6" borderId="8" xfId="0" applyNumberFormat="1" applyFont="1" applyFill="1" applyBorder="1" applyAlignment="1">
      <alignment horizontal="center" vertical="top" wrapText="1"/>
    </xf>
    <xf numFmtId="49" fontId="3" fillId="6" borderId="20" xfId="0" applyNumberFormat="1" applyFont="1" applyFill="1" applyBorder="1" applyAlignment="1">
      <alignment horizontal="center" vertical="top" wrapText="1"/>
    </xf>
    <xf numFmtId="49" fontId="5" fillId="6" borderId="30" xfId="0" applyNumberFormat="1" applyFont="1" applyFill="1" applyBorder="1" applyAlignment="1">
      <alignment horizontal="center" vertical="top"/>
    </xf>
    <xf numFmtId="0" fontId="7" fillId="6" borderId="8" xfId="0" applyFont="1" applyFill="1" applyBorder="1" applyAlignment="1">
      <alignment horizontal="center" vertical="top" wrapText="1"/>
    </xf>
    <xf numFmtId="0" fontId="3" fillId="6" borderId="8" xfId="0" applyFont="1" applyFill="1" applyBorder="1" applyAlignment="1">
      <alignment horizontal="center" vertical="top" wrapText="1"/>
    </xf>
    <xf numFmtId="3" fontId="5" fillId="6" borderId="46" xfId="0" applyNumberFormat="1" applyFont="1" applyFill="1" applyBorder="1" applyAlignment="1">
      <alignment horizontal="center" vertical="top" wrapText="1"/>
    </xf>
    <xf numFmtId="0" fontId="7" fillId="6" borderId="30" xfId="0" applyFont="1" applyFill="1" applyBorder="1" applyAlignment="1">
      <alignment horizontal="center" vertical="center" textRotation="90" wrapText="1"/>
    </xf>
    <xf numFmtId="0" fontId="3" fillId="6" borderId="41" xfId="0" applyFont="1" applyFill="1" applyBorder="1" applyAlignment="1">
      <alignment horizontal="left" vertical="top" wrapText="1"/>
    </xf>
    <xf numFmtId="49" fontId="5" fillId="8" borderId="14" xfId="0" applyNumberFormat="1" applyFont="1" applyFill="1" applyBorder="1" applyAlignment="1">
      <alignment vertical="center" textRotation="90"/>
    </xf>
    <xf numFmtId="165" fontId="21" fillId="8" borderId="66" xfId="0" applyNumberFormat="1" applyFont="1" applyFill="1" applyBorder="1" applyAlignment="1">
      <alignment horizontal="center" vertical="top"/>
    </xf>
    <xf numFmtId="165" fontId="21" fillId="8" borderId="39" xfId="0" applyNumberFormat="1" applyFont="1" applyFill="1" applyBorder="1" applyAlignment="1">
      <alignment horizontal="center" vertical="top"/>
    </xf>
    <xf numFmtId="0" fontId="21" fillId="8" borderId="39" xfId="0" applyFont="1" applyFill="1" applyBorder="1" applyAlignment="1">
      <alignment horizontal="left" vertical="top" wrapText="1"/>
    </xf>
    <xf numFmtId="3" fontId="21" fillId="8" borderId="39" xfId="0" applyNumberFormat="1" applyFont="1" applyFill="1" applyBorder="1" applyAlignment="1">
      <alignment horizontal="center" vertical="top" wrapText="1"/>
    </xf>
    <xf numFmtId="3" fontId="3" fillId="8" borderId="39" xfId="0" applyNumberFormat="1" applyFont="1" applyFill="1" applyBorder="1" applyAlignment="1">
      <alignment horizontal="center" vertical="top" wrapText="1"/>
    </xf>
    <xf numFmtId="3" fontId="3" fillId="8" borderId="49" xfId="0" applyNumberFormat="1" applyFont="1" applyFill="1" applyBorder="1" applyAlignment="1">
      <alignment horizontal="center" vertical="top" wrapText="1"/>
    </xf>
    <xf numFmtId="49" fontId="3" fillId="8" borderId="39" xfId="0" applyNumberFormat="1" applyFont="1" applyFill="1" applyBorder="1" applyAlignment="1">
      <alignment vertical="top"/>
    </xf>
    <xf numFmtId="49" fontId="3" fillId="8" borderId="40" xfId="0" applyNumberFormat="1" applyFont="1" applyFill="1" applyBorder="1" applyAlignment="1">
      <alignment vertical="top"/>
    </xf>
    <xf numFmtId="3" fontId="3" fillId="8" borderId="49" xfId="0" applyNumberFormat="1" applyFont="1" applyFill="1" applyBorder="1" applyAlignment="1">
      <alignment horizontal="center" vertical="top"/>
    </xf>
    <xf numFmtId="0" fontId="3" fillId="8" borderId="38" xfId="1" applyFont="1" applyFill="1" applyBorder="1" applyAlignment="1">
      <alignment vertical="top" wrapText="1"/>
    </xf>
    <xf numFmtId="3" fontId="3" fillId="8" borderId="38" xfId="0" applyNumberFormat="1" applyFont="1" applyFill="1" applyBorder="1" applyAlignment="1">
      <alignment horizontal="center" vertical="top" wrapText="1"/>
    </xf>
    <xf numFmtId="3" fontId="3" fillId="8" borderId="38" xfId="0" applyNumberFormat="1" applyFont="1" applyFill="1" applyBorder="1" applyAlignment="1">
      <alignment horizontal="center" vertical="top"/>
    </xf>
    <xf numFmtId="0" fontId="3" fillId="8" borderId="39" xfId="0" applyFont="1" applyFill="1" applyBorder="1" applyAlignment="1">
      <alignment horizontal="center" vertical="top"/>
    </xf>
    <xf numFmtId="165" fontId="3" fillId="8" borderId="39" xfId="0" applyNumberFormat="1" applyFont="1" applyFill="1" applyBorder="1" applyAlignment="1">
      <alignment horizontal="center" vertical="top"/>
    </xf>
    <xf numFmtId="0" fontId="5" fillId="9" borderId="59" xfId="0" applyFont="1" applyFill="1" applyBorder="1" applyAlignment="1">
      <alignment horizontal="left" vertical="top" wrapText="1"/>
    </xf>
    <xf numFmtId="49" fontId="5" fillId="10" borderId="9" xfId="0" applyNumberFormat="1" applyFont="1" applyFill="1" applyBorder="1" applyAlignment="1">
      <alignment horizontal="center" vertical="top"/>
    </xf>
    <xf numFmtId="49" fontId="5" fillId="3" borderId="14"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0" fontId="3" fillId="6" borderId="44" xfId="0" applyFont="1" applyFill="1" applyBorder="1" applyAlignment="1">
      <alignment horizontal="center" vertical="center" textRotation="90" wrapText="1"/>
    </xf>
    <xf numFmtId="0" fontId="3" fillId="6" borderId="46" xfId="0" applyFont="1" applyFill="1" applyBorder="1" applyAlignment="1">
      <alignment horizontal="center" vertical="center" textRotation="90" wrapText="1"/>
    </xf>
    <xf numFmtId="0" fontId="3" fillId="6" borderId="41" xfId="1" applyFont="1" applyFill="1" applyBorder="1" applyAlignment="1">
      <alignment vertical="top" wrapText="1"/>
    </xf>
    <xf numFmtId="49" fontId="5" fillId="3" borderId="55" xfId="0" applyNumberFormat="1" applyFont="1" applyFill="1" applyBorder="1" applyAlignment="1">
      <alignment horizontal="center" vertical="top"/>
    </xf>
    <xf numFmtId="0" fontId="7" fillId="9" borderId="59" xfId="0" applyFont="1" applyFill="1" applyBorder="1" applyAlignment="1">
      <alignment horizontal="left" vertical="top" wrapText="1"/>
    </xf>
    <xf numFmtId="3" fontId="4" fillId="6" borderId="0" xfId="0" applyNumberFormat="1" applyFont="1" applyFill="1" applyAlignment="1">
      <alignment horizontal="left" vertical="top" wrapText="1"/>
    </xf>
    <xf numFmtId="0" fontId="32" fillId="6" borderId="0" xfId="0" applyFont="1" applyFill="1" applyAlignment="1">
      <alignment vertical="top"/>
    </xf>
    <xf numFmtId="49" fontId="5" fillId="0" borderId="0" xfId="0" applyNumberFormat="1" applyFont="1" applyFill="1" applyBorder="1" applyAlignment="1">
      <alignment horizontal="center" vertical="top" wrapText="1"/>
    </xf>
    <xf numFmtId="49" fontId="3" fillId="6" borderId="8" xfId="0" applyNumberFormat="1" applyFont="1" applyFill="1" applyBorder="1" applyAlignment="1">
      <alignment horizontal="center" vertical="top" wrapText="1"/>
    </xf>
    <xf numFmtId="0" fontId="3" fillId="6" borderId="9" xfId="1" applyFont="1" applyFill="1" applyBorder="1" applyAlignment="1">
      <alignment vertical="top" wrapText="1"/>
    </xf>
    <xf numFmtId="0" fontId="3" fillId="6" borderId="27" xfId="1" applyFont="1" applyFill="1" applyBorder="1" applyAlignment="1">
      <alignment vertical="top" wrapText="1"/>
    </xf>
    <xf numFmtId="0" fontId="3" fillId="6" borderId="14" xfId="0" applyFont="1" applyFill="1" applyBorder="1" applyAlignment="1">
      <alignment horizontal="left" vertical="top" wrapText="1"/>
    </xf>
    <xf numFmtId="0" fontId="3" fillId="6" borderId="41" xfId="1" applyFont="1" applyFill="1" applyBorder="1" applyAlignment="1">
      <alignment vertical="top" wrapText="1"/>
    </xf>
    <xf numFmtId="0" fontId="7" fillId="6" borderId="27" xfId="0" applyFont="1" applyFill="1" applyBorder="1" applyAlignment="1">
      <alignment vertical="top" wrapText="1"/>
    </xf>
    <xf numFmtId="0" fontId="3" fillId="6" borderId="88" xfId="0" applyFont="1" applyFill="1" applyBorder="1" applyAlignment="1">
      <alignment horizontal="left" vertical="top" wrapText="1"/>
    </xf>
    <xf numFmtId="0" fontId="3" fillId="6" borderId="35" xfId="0" applyFont="1" applyFill="1" applyBorder="1" applyAlignment="1">
      <alignment horizontal="center" vertical="center" textRotation="90" wrapText="1"/>
    </xf>
    <xf numFmtId="0" fontId="3" fillId="6" borderId="17" xfId="0" applyFont="1" applyFill="1" applyBorder="1" applyAlignment="1">
      <alignment horizontal="center" vertical="center" textRotation="90" wrapText="1"/>
    </xf>
    <xf numFmtId="49" fontId="5" fillId="10" borderId="9" xfId="0" applyNumberFormat="1" applyFont="1" applyFill="1" applyBorder="1" applyAlignment="1">
      <alignment horizontal="center" vertical="top"/>
    </xf>
    <xf numFmtId="49" fontId="5" fillId="3" borderId="14" xfId="0" applyNumberFormat="1" applyFont="1" applyFill="1" applyBorder="1" applyAlignment="1">
      <alignment horizontal="center" vertical="top"/>
    </xf>
    <xf numFmtId="49" fontId="5" fillId="6" borderId="14" xfId="0" applyNumberFormat="1" applyFont="1" applyFill="1" applyBorder="1" applyAlignment="1">
      <alignment horizontal="center" vertical="top"/>
    </xf>
    <xf numFmtId="49" fontId="5" fillId="6" borderId="46" xfId="0" applyNumberFormat="1" applyFont="1" applyFill="1" applyBorder="1" applyAlignment="1">
      <alignment horizontal="center" vertical="top"/>
    </xf>
    <xf numFmtId="0" fontId="3" fillId="6" borderId="9" xfId="0" applyFont="1" applyFill="1" applyBorder="1" applyAlignment="1">
      <alignment horizontal="left" vertical="top" wrapText="1"/>
    </xf>
    <xf numFmtId="0" fontId="3" fillId="6" borderId="27" xfId="0" applyFont="1" applyFill="1" applyBorder="1" applyAlignment="1">
      <alignment horizontal="left" vertical="top" wrapText="1"/>
    </xf>
    <xf numFmtId="0" fontId="7" fillId="6" borderId="30" xfId="0" applyFont="1" applyFill="1" applyBorder="1" applyAlignment="1">
      <alignment horizontal="left" vertical="top" wrapText="1"/>
    </xf>
    <xf numFmtId="0" fontId="3" fillId="6" borderId="46" xfId="0" applyFont="1" applyFill="1" applyBorder="1" applyAlignment="1">
      <alignment horizontal="left" vertical="top" wrapText="1"/>
    </xf>
    <xf numFmtId="0" fontId="3" fillId="6" borderId="9" xfId="0" applyFont="1" applyFill="1" applyBorder="1" applyAlignment="1">
      <alignment vertical="top" wrapText="1"/>
    </xf>
    <xf numFmtId="0" fontId="3" fillId="6" borderId="36" xfId="0" applyFont="1" applyFill="1" applyBorder="1" applyAlignment="1">
      <alignment vertical="top" wrapText="1"/>
    </xf>
    <xf numFmtId="3" fontId="5" fillId="6" borderId="46" xfId="0" applyNumberFormat="1" applyFont="1" applyFill="1" applyBorder="1" applyAlignment="1">
      <alignment horizontal="center" vertical="top" wrapText="1"/>
    </xf>
    <xf numFmtId="0" fontId="3" fillId="6" borderId="86" xfId="0" applyFont="1" applyFill="1" applyBorder="1" applyAlignment="1">
      <alignment horizontal="left" vertical="top" wrapText="1"/>
    </xf>
    <xf numFmtId="0" fontId="3" fillId="6" borderId="87" xfId="0" applyFont="1" applyFill="1" applyBorder="1" applyAlignment="1">
      <alignment horizontal="left" vertical="top" wrapText="1"/>
    </xf>
    <xf numFmtId="0" fontId="3" fillId="6" borderId="38" xfId="0" applyFont="1" applyFill="1" applyBorder="1" applyAlignment="1">
      <alignment horizontal="center" vertical="center" wrapText="1"/>
    </xf>
    <xf numFmtId="0" fontId="3" fillId="6" borderId="36" xfId="0" applyFont="1" applyFill="1" applyBorder="1" applyAlignment="1">
      <alignment horizontal="left" vertical="top" wrapText="1"/>
    </xf>
    <xf numFmtId="0" fontId="3" fillId="6" borderId="41" xfId="0" applyFont="1" applyFill="1" applyBorder="1" applyAlignment="1">
      <alignment horizontal="left" vertical="top" wrapText="1"/>
    </xf>
    <xf numFmtId="3" fontId="5" fillId="6" borderId="46" xfId="0" applyNumberFormat="1" applyFont="1" applyFill="1" applyBorder="1" applyAlignment="1">
      <alignment horizontal="center" vertical="top"/>
    </xf>
    <xf numFmtId="0" fontId="3" fillId="6" borderId="8" xfId="0" applyFont="1" applyFill="1" applyBorder="1" applyAlignment="1">
      <alignment horizontal="center" vertical="top" wrapText="1"/>
    </xf>
    <xf numFmtId="0" fontId="3" fillId="6" borderId="14" xfId="0" applyFont="1" applyFill="1" applyBorder="1" applyAlignment="1">
      <alignment vertical="top" wrapText="1"/>
    </xf>
    <xf numFmtId="0" fontId="3" fillId="6" borderId="30" xfId="0" applyFont="1" applyFill="1" applyBorder="1" applyAlignment="1">
      <alignment vertical="top" wrapText="1"/>
    </xf>
    <xf numFmtId="0" fontId="3" fillId="6" borderId="36" xfId="0" applyFont="1" applyFill="1" applyBorder="1" applyAlignment="1">
      <alignment vertical="top" wrapText="1"/>
    </xf>
    <xf numFmtId="0" fontId="7" fillId="6" borderId="14" xfId="0" applyFont="1" applyFill="1" applyBorder="1" applyAlignment="1">
      <alignment vertical="top" wrapText="1"/>
    </xf>
    <xf numFmtId="49" fontId="5" fillId="10" borderId="9" xfId="0" applyNumberFormat="1" applyFont="1" applyFill="1" applyBorder="1" applyAlignment="1">
      <alignment horizontal="center" vertical="top"/>
    </xf>
    <xf numFmtId="49" fontId="5" fillId="6" borderId="14" xfId="0" applyNumberFormat="1" applyFont="1" applyFill="1" applyBorder="1" applyAlignment="1">
      <alignment horizontal="center" vertical="top" wrapText="1"/>
    </xf>
    <xf numFmtId="0" fontId="5" fillId="6" borderId="30" xfId="0" applyFont="1" applyFill="1" applyBorder="1" applyAlignment="1">
      <alignment horizontal="center" vertical="top" wrapText="1"/>
    </xf>
    <xf numFmtId="0" fontId="5" fillId="6" borderId="14" xfId="0" applyFont="1" applyFill="1" applyBorder="1" applyAlignment="1">
      <alignment horizontal="center" vertical="top" wrapText="1"/>
    </xf>
    <xf numFmtId="0" fontId="3" fillId="6" borderId="30" xfId="0" applyFont="1" applyFill="1" applyBorder="1" applyAlignment="1">
      <alignment horizontal="left" vertical="top" wrapText="1"/>
    </xf>
    <xf numFmtId="0" fontId="3" fillId="6" borderId="9" xfId="0" applyFont="1" applyFill="1" applyBorder="1" applyAlignment="1">
      <alignment vertical="top" wrapText="1"/>
    </xf>
    <xf numFmtId="0" fontId="3" fillId="6" borderId="33" xfId="0" applyFont="1" applyFill="1" applyBorder="1" applyAlignment="1">
      <alignment horizontal="left" vertical="top" wrapText="1"/>
    </xf>
    <xf numFmtId="49" fontId="5" fillId="3" borderId="46" xfId="0" applyNumberFormat="1" applyFont="1" applyFill="1" applyBorder="1" applyAlignment="1">
      <alignment horizontal="center" vertical="top"/>
    </xf>
    <xf numFmtId="49" fontId="5" fillId="3" borderId="55" xfId="0" applyNumberFormat="1" applyFont="1" applyFill="1" applyBorder="1" applyAlignment="1">
      <alignment horizontal="center" vertical="top"/>
    </xf>
    <xf numFmtId="49" fontId="5" fillId="6" borderId="14" xfId="0" applyNumberFormat="1" applyFont="1" applyFill="1" applyBorder="1" applyAlignment="1">
      <alignment horizontal="center" vertical="top"/>
    </xf>
    <xf numFmtId="0" fontId="3" fillId="6" borderId="7" xfId="0" applyFont="1" applyFill="1" applyBorder="1" applyAlignment="1">
      <alignment horizontal="left" vertical="top" wrapText="1"/>
    </xf>
    <xf numFmtId="0" fontId="3" fillId="6" borderId="46" xfId="0" applyFont="1" applyFill="1" applyBorder="1" applyAlignment="1">
      <alignment horizontal="left" vertical="top" wrapText="1"/>
    </xf>
    <xf numFmtId="0" fontId="3" fillId="6" borderId="44" xfId="0" applyFont="1" applyFill="1" applyBorder="1" applyAlignment="1">
      <alignment horizontal="center" vertical="center" textRotation="90" wrapText="1"/>
    </xf>
    <xf numFmtId="0" fontId="3" fillId="6" borderId="46" xfId="0" applyFont="1" applyFill="1" applyBorder="1" applyAlignment="1">
      <alignment horizontal="center" vertical="center" textRotation="90" wrapText="1"/>
    </xf>
    <xf numFmtId="0" fontId="3" fillId="6" borderId="41" xfId="0" applyFont="1" applyFill="1" applyBorder="1" applyAlignment="1">
      <alignment vertical="top" wrapText="1"/>
    </xf>
    <xf numFmtId="0" fontId="3" fillId="6" borderId="9" xfId="0" applyFont="1" applyFill="1" applyBorder="1" applyAlignment="1">
      <alignment horizontal="left" vertical="top" wrapText="1"/>
    </xf>
    <xf numFmtId="0" fontId="3" fillId="6" borderId="18" xfId="0" applyFont="1" applyFill="1" applyBorder="1" applyAlignment="1">
      <alignment horizontal="center" vertical="center" textRotation="90" wrapText="1"/>
    </xf>
    <xf numFmtId="0" fontId="3" fillId="6" borderId="14" xfId="0" applyFont="1" applyFill="1" applyBorder="1" applyAlignment="1">
      <alignment horizontal="center" vertical="center" textRotation="90" wrapText="1"/>
    </xf>
    <xf numFmtId="0" fontId="3" fillId="6" borderId="30" xfId="0" applyFont="1" applyFill="1" applyBorder="1" applyAlignment="1">
      <alignment horizontal="center" vertical="center" textRotation="90" wrapText="1"/>
    </xf>
    <xf numFmtId="49" fontId="5" fillId="6" borderId="46" xfId="0" applyNumberFormat="1" applyFont="1" applyFill="1" applyBorder="1" applyAlignment="1">
      <alignment horizontal="center" vertical="top"/>
    </xf>
    <xf numFmtId="0" fontId="3" fillId="6" borderId="88" xfId="0" applyFont="1" applyFill="1" applyBorder="1" applyAlignment="1">
      <alignment horizontal="left" vertical="top" wrapText="1"/>
    </xf>
    <xf numFmtId="0" fontId="3" fillId="6" borderId="35" xfId="0" applyFont="1" applyFill="1" applyBorder="1" applyAlignment="1">
      <alignment horizontal="center" vertical="center" textRotation="90" wrapText="1"/>
    </xf>
    <xf numFmtId="0" fontId="3" fillId="6" borderId="17" xfId="0" applyFont="1" applyFill="1" applyBorder="1" applyAlignment="1">
      <alignment horizontal="center" vertical="center" textRotation="90" wrapText="1"/>
    </xf>
    <xf numFmtId="0" fontId="3" fillId="6" borderId="41" xfId="0" applyFont="1" applyFill="1" applyBorder="1" applyAlignment="1">
      <alignment horizontal="left" vertical="top" wrapText="1"/>
    </xf>
    <xf numFmtId="49" fontId="5" fillId="6" borderId="18" xfId="0" applyNumberFormat="1" applyFont="1" applyFill="1" applyBorder="1" applyAlignment="1">
      <alignment horizontal="center" vertical="top"/>
    </xf>
    <xf numFmtId="0" fontId="3" fillId="6" borderId="53" xfId="0" applyFont="1" applyFill="1" applyBorder="1" applyAlignment="1">
      <alignment vertical="top" wrapText="1"/>
    </xf>
    <xf numFmtId="0" fontId="3" fillId="6" borderId="8" xfId="0" applyFont="1" applyFill="1" applyBorder="1" applyAlignment="1">
      <alignment horizontal="center" vertical="top" wrapText="1"/>
    </xf>
    <xf numFmtId="0" fontId="42" fillId="6" borderId="16" xfId="0" applyFont="1" applyFill="1" applyBorder="1" applyAlignment="1">
      <alignment horizontal="center" vertical="center" wrapText="1"/>
    </xf>
    <xf numFmtId="0" fontId="5" fillId="6" borderId="0" xfId="0" applyFont="1" applyFill="1" applyBorder="1" applyAlignment="1">
      <alignment horizontal="center" vertical="center" wrapText="1"/>
    </xf>
    <xf numFmtId="0" fontId="3" fillId="6" borderId="39" xfId="0" applyFont="1" applyFill="1" applyBorder="1" applyAlignment="1">
      <alignment horizontal="center" vertical="top"/>
    </xf>
    <xf numFmtId="0" fontId="3" fillId="6" borderId="38" xfId="1" applyFont="1" applyFill="1" applyBorder="1" applyAlignment="1">
      <alignment vertical="top" wrapText="1"/>
    </xf>
    <xf numFmtId="3" fontId="3" fillId="6" borderId="49" xfId="0" applyNumberFormat="1" applyFont="1" applyFill="1" applyBorder="1" applyAlignment="1">
      <alignment horizontal="center" vertical="top"/>
    </xf>
    <xf numFmtId="0" fontId="3" fillId="6" borderId="78" xfId="0" applyFont="1" applyFill="1" applyBorder="1" applyAlignment="1">
      <alignment horizontal="left" vertical="top" wrapText="1"/>
    </xf>
    <xf numFmtId="165" fontId="3" fillId="6" borderId="77" xfId="0" applyNumberFormat="1" applyFont="1" applyFill="1" applyBorder="1" applyAlignment="1">
      <alignment horizontal="center" vertical="top"/>
    </xf>
    <xf numFmtId="165" fontId="3" fillId="6" borderId="70" xfId="0" applyNumberFormat="1" applyFont="1" applyFill="1" applyBorder="1" applyAlignment="1">
      <alignment horizontal="center" vertical="top"/>
    </xf>
    <xf numFmtId="49" fontId="3" fillId="6" borderId="40" xfId="0" applyNumberFormat="1" applyFont="1" applyFill="1" applyBorder="1" applyAlignment="1">
      <alignment vertical="top"/>
    </xf>
    <xf numFmtId="165" fontId="21" fillId="6" borderId="66" xfId="0" applyNumberFormat="1" applyFont="1" applyFill="1" applyBorder="1" applyAlignment="1">
      <alignment horizontal="center" vertical="top"/>
    </xf>
    <xf numFmtId="165" fontId="21" fillId="6" borderId="39" xfId="0" applyNumberFormat="1" applyFont="1" applyFill="1" applyBorder="1" applyAlignment="1">
      <alignment horizontal="center" vertical="top"/>
    </xf>
    <xf numFmtId="0" fontId="21" fillId="6" borderId="39" xfId="0" applyFont="1" applyFill="1" applyBorder="1" applyAlignment="1">
      <alignment horizontal="left" vertical="top" wrapText="1"/>
    </xf>
    <xf numFmtId="3" fontId="3" fillId="6" borderId="39" xfId="0" applyNumberFormat="1" applyFont="1" applyFill="1" applyBorder="1" applyAlignment="1">
      <alignment horizontal="center" vertical="top" wrapText="1"/>
    </xf>
    <xf numFmtId="3" fontId="3" fillId="6" borderId="49" xfId="0" applyNumberFormat="1" applyFont="1" applyFill="1" applyBorder="1" applyAlignment="1">
      <alignment horizontal="center" vertical="top" wrapText="1"/>
    </xf>
    <xf numFmtId="49" fontId="5" fillId="6" borderId="14" xfId="0" applyNumberFormat="1" applyFont="1" applyFill="1" applyBorder="1" applyAlignment="1">
      <alignment vertical="center" textRotation="90"/>
    </xf>
    <xf numFmtId="0" fontId="19" fillId="6" borderId="46" xfId="0" applyFont="1" applyFill="1" applyBorder="1" applyAlignment="1">
      <alignment wrapText="1"/>
    </xf>
    <xf numFmtId="0" fontId="19" fillId="6" borderId="28" xfId="0" applyFont="1" applyFill="1" applyBorder="1" applyAlignment="1">
      <alignment wrapText="1"/>
    </xf>
    <xf numFmtId="0" fontId="3" fillId="6" borderId="46" xfId="0" applyFont="1" applyFill="1" applyBorder="1" applyAlignment="1">
      <alignment vertical="center" wrapText="1"/>
    </xf>
    <xf numFmtId="0" fontId="3" fillId="6" borderId="44" xfId="0" applyFont="1" applyFill="1" applyBorder="1" applyAlignment="1">
      <alignment horizontal="center" vertical="center" wrapText="1"/>
    </xf>
    <xf numFmtId="0" fontId="3" fillId="6" borderId="28" xfId="0" applyFont="1" applyFill="1" applyBorder="1" applyAlignment="1">
      <alignment vertical="center" wrapText="1"/>
    </xf>
    <xf numFmtId="0" fontId="3" fillId="6" borderId="46" xfId="0" applyFont="1" applyFill="1" applyBorder="1" applyAlignment="1">
      <alignment horizontal="center" vertical="top" wrapText="1"/>
    </xf>
    <xf numFmtId="0" fontId="3" fillId="6" borderId="29" xfId="0" applyFont="1" applyFill="1" applyBorder="1" applyAlignment="1">
      <alignment vertical="center" wrapText="1"/>
    </xf>
    <xf numFmtId="0" fontId="44" fillId="6" borderId="16" xfId="0" applyFont="1" applyFill="1" applyBorder="1" applyAlignment="1">
      <alignment horizontal="center" vertical="center" wrapText="1"/>
    </xf>
    <xf numFmtId="0" fontId="3" fillId="6" borderId="46" xfId="0" applyFont="1" applyFill="1" applyBorder="1" applyAlignment="1">
      <alignment horizontal="center" vertical="center" wrapText="1"/>
    </xf>
    <xf numFmtId="0" fontId="3" fillId="6" borderId="28" xfId="0" applyFont="1" applyFill="1" applyBorder="1" applyAlignment="1">
      <alignment horizontal="center" vertical="center" wrapText="1"/>
    </xf>
    <xf numFmtId="0" fontId="44" fillId="6" borderId="16" xfId="0" applyFont="1" applyFill="1" applyBorder="1" applyAlignment="1">
      <alignment horizontal="center" vertical="top" wrapText="1"/>
    </xf>
    <xf numFmtId="0" fontId="3" fillId="6" borderId="1" xfId="0" applyFont="1" applyFill="1" applyBorder="1" applyAlignment="1">
      <alignment horizontal="center" vertical="center" wrapText="1"/>
    </xf>
    <xf numFmtId="0" fontId="3" fillId="6" borderId="16" xfId="0" applyFont="1" applyFill="1" applyBorder="1" applyAlignment="1">
      <alignment horizontal="center" vertical="center" wrapText="1"/>
    </xf>
    <xf numFmtId="0" fontId="3" fillId="6" borderId="0" xfId="0" applyFont="1" applyFill="1" applyBorder="1" applyAlignment="1">
      <alignment vertical="center" wrapText="1"/>
    </xf>
    <xf numFmtId="0" fontId="3" fillId="6" borderId="81" xfId="0" applyFont="1" applyFill="1" applyBorder="1" applyAlignment="1">
      <alignment horizontal="left" vertical="top" wrapText="1"/>
    </xf>
    <xf numFmtId="3" fontId="3" fillId="6" borderId="85" xfId="0" applyNumberFormat="1" applyFont="1" applyFill="1" applyBorder="1" applyAlignment="1">
      <alignment horizontal="center" vertical="top" wrapText="1"/>
    </xf>
    <xf numFmtId="3" fontId="3" fillId="6" borderId="83" xfId="0" applyNumberFormat="1" applyFont="1" applyFill="1" applyBorder="1" applyAlignment="1">
      <alignment horizontal="center" vertical="top" wrapText="1"/>
    </xf>
    <xf numFmtId="0" fontId="25" fillId="6" borderId="53" xfId="0" applyFont="1" applyFill="1" applyBorder="1" applyAlignment="1">
      <alignment horizontal="left" vertical="top" wrapText="1"/>
    </xf>
    <xf numFmtId="49" fontId="3" fillId="6" borderId="29" xfId="0" applyNumberFormat="1" applyFont="1" applyFill="1" applyBorder="1" applyAlignment="1">
      <alignment horizontal="center" vertical="top" wrapText="1"/>
    </xf>
    <xf numFmtId="0" fontId="5" fillId="6" borderId="16" xfId="0" applyFont="1" applyFill="1" applyBorder="1" applyAlignment="1">
      <alignment horizontal="center" vertical="center" wrapText="1"/>
    </xf>
    <xf numFmtId="0" fontId="3" fillId="6" borderId="53" xfId="1" applyFont="1" applyFill="1" applyBorder="1" applyAlignment="1">
      <alignment horizontal="left" vertical="top" wrapText="1"/>
    </xf>
    <xf numFmtId="0" fontId="3" fillId="6" borderId="36" xfId="1" applyFont="1" applyFill="1" applyBorder="1" applyAlignment="1">
      <alignment horizontal="left" vertical="top" wrapText="1"/>
    </xf>
    <xf numFmtId="0" fontId="3" fillId="6" borderId="29" xfId="0" applyFont="1" applyFill="1" applyBorder="1" applyAlignment="1">
      <alignment horizontal="center" vertical="center"/>
    </xf>
    <xf numFmtId="0" fontId="3" fillId="6" borderId="14" xfId="0" applyFont="1" applyFill="1" applyBorder="1" applyAlignment="1">
      <alignment vertical="center" textRotation="90"/>
    </xf>
    <xf numFmtId="0" fontId="3" fillId="6" borderId="14" xfId="0" applyFont="1" applyFill="1" applyBorder="1" applyAlignment="1">
      <alignment vertical="center"/>
    </xf>
    <xf numFmtId="0" fontId="3" fillId="6" borderId="18" xfId="0" applyFont="1" applyFill="1" applyBorder="1" applyAlignment="1">
      <alignment horizontal="center" vertical="center"/>
    </xf>
    <xf numFmtId="0" fontId="5" fillId="6" borderId="114" xfId="0" applyFont="1" applyFill="1" applyBorder="1" applyAlignment="1">
      <alignment horizontal="center" vertical="top" wrapText="1"/>
    </xf>
    <xf numFmtId="165" fontId="3" fillId="6" borderId="114" xfId="0" applyNumberFormat="1" applyFont="1" applyFill="1" applyBorder="1" applyAlignment="1">
      <alignment horizontal="center" vertical="top"/>
    </xf>
    <xf numFmtId="0" fontId="3" fillId="6" borderId="80" xfId="1" applyFont="1" applyFill="1" applyBorder="1" applyAlignment="1">
      <alignment horizontal="left" vertical="top" wrapText="1"/>
    </xf>
    <xf numFmtId="3" fontId="3" fillId="6" borderId="79" xfId="1" applyNumberFormat="1" applyFont="1" applyFill="1" applyBorder="1" applyAlignment="1">
      <alignment horizontal="center" vertical="top" wrapText="1"/>
    </xf>
    <xf numFmtId="0" fontId="3" fillId="6" borderId="29" xfId="0" applyFont="1" applyFill="1" applyBorder="1" applyAlignment="1">
      <alignment horizontal="center" vertical="center" wrapText="1"/>
    </xf>
    <xf numFmtId="0" fontId="28" fillId="6" borderId="5" xfId="0" applyFont="1" applyFill="1" applyBorder="1" applyAlignment="1">
      <alignment horizontal="center" vertical="top"/>
    </xf>
    <xf numFmtId="49" fontId="5" fillId="6" borderId="55" xfId="0" applyNumberFormat="1" applyFont="1" applyFill="1" applyBorder="1" applyAlignment="1">
      <alignment horizontal="center" vertical="top" wrapText="1"/>
    </xf>
    <xf numFmtId="0" fontId="3" fillId="6" borderId="2" xfId="0" applyFont="1" applyFill="1" applyBorder="1" applyAlignment="1">
      <alignment horizontal="center" vertical="top" wrapText="1"/>
    </xf>
    <xf numFmtId="0" fontId="3" fillId="6" borderId="19" xfId="0" applyFont="1" applyFill="1" applyBorder="1" applyAlignment="1">
      <alignment horizontal="center" vertical="top"/>
    </xf>
    <xf numFmtId="0" fontId="3" fillId="6" borderId="13" xfId="0" applyFont="1" applyFill="1" applyBorder="1" applyAlignment="1">
      <alignment vertical="top" wrapText="1"/>
    </xf>
    <xf numFmtId="3" fontId="3" fillId="6" borderId="39" xfId="1" applyNumberFormat="1" applyFont="1" applyFill="1" applyBorder="1" applyAlignment="1">
      <alignment horizontal="center" vertical="top"/>
    </xf>
    <xf numFmtId="3" fontId="3" fillId="6" borderId="2" xfId="1" applyNumberFormat="1" applyFont="1" applyFill="1" applyBorder="1" applyAlignment="1">
      <alignment horizontal="center" vertical="top"/>
    </xf>
    <xf numFmtId="3" fontId="3" fillId="6" borderId="15" xfId="1" applyNumberFormat="1" applyFont="1" applyFill="1" applyBorder="1" applyAlignment="1">
      <alignment horizontal="center" vertical="top"/>
    </xf>
    <xf numFmtId="0" fontId="7" fillId="6" borderId="35" xfId="0" applyFont="1" applyFill="1" applyBorder="1" applyAlignment="1">
      <alignment horizontal="center" vertical="center" wrapText="1"/>
    </xf>
    <xf numFmtId="0" fontId="3" fillId="6" borderId="22" xfId="0" applyFont="1" applyFill="1" applyBorder="1" applyAlignment="1">
      <alignment vertical="top" wrapText="1"/>
    </xf>
    <xf numFmtId="0" fontId="5" fillId="6" borderId="23" xfId="0" applyFont="1" applyFill="1" applyBorder="1" applyAlignment="1">
      <alignment horizontal="center" vertical="top" wrapText="1"/>
    </xf>
    <xf numFmtId="3" fontId="16" fillId="6" borderId="46" xfId="1" applyNumberFormat="1" applyFont="1" applyFill="1" applyBorder="1" applyAlignment="1">
      <alignment horizontal="center" vertical="top"/>
    </xf>
    <xf numFmtId="3" fontId="16" fillId="6" borderId="16" xfId="1" applyNumberFormat="1" applyFont="1" applyFill="1" applyBorder="1" applyAlignment="1">
      <alignment horizontal="center" vertical="top"/>
    </xf>
    <xf numFmtId="0" fontId="3" fillId="6" borderId="10" xfId="0" applyFont="1" applyFill="1" applyBorder="1" applyAlignment="1">
      <alignment horizontal="left" vertical="top" wrapText="1"/>
    </xf>
    <xf numFmtId="3" fontId="3" fillId="6" borderId="22" xfId="0" applyNumberFormat="1" applyFont="1" applyFill="1" applyBorder="1" applyAlignment="1">
      <alignment horizontal="center" vertical="top"/>
    </xf>
    <xf numFmtId="165" fontId="3" fillId="6" borderId="25" xfId="0" applyNumberFormat="1" applyFont="1" applyFill="1" applyBorder="1" applyAlignment="1">
      <alignment horizontal="center" vertical="top" wrapText="1"/>
    </xf>
    <xf numFmtId="0" fontId="9" fillId="6" borderId="67" xfId="0" applyFont="1" applyFill="1" applyBorder="1" applyAlignment="1">
      <alignment vertical="top" wrapText="1"/>
    </xf>
    <xf numFmtId="0" fontId="9" fillId="6" borderId="36" xfId="0" applyFont="1" applyFill="1" applyBorder="1" applyAlignment="1">
      <alignment vertical="top" wrapText="1"/>
    </xf>
    <xf numFmtId="0" fontId="3" fillId="6" borderId="1" xfId="0" applyFont="1" applyFill="1" applyBorder="1" applyAlignment="1">
      <alignment horizontal="center" vertical="center" textRotation="90" wrapText="1"/>
    </xf>
    <xf numFmtId="0" fontId="3" fillId="6" borderId="16" xfId="0" applyFont="1" applyFill="1" applyBorder="1" applyAlignment="1">
      <alignment horizontal="center" vertical="center" textRotation="90" wrapText="1"/>
    </xf>
    <xf numFmtId="0" fontId="3" fillId="6" borderId="2" xfId="0" applyFont="1" applyFill="1" applyBorder="1" applyAlignment="1">
      <alignment horizontal="center" vertical="center" textRotation="90" wrapText="1"/>
    </xf>
    <xf numFmtId="0" fontId="3" fillId="6" borderId="93" xfId="0" applyFont="1" applyFill="1" applyBorder="1" applyAlignment="1">
      <alignment horizontal="center" vertical="center" textRotation="90" wrapText="1"/>
    </xf>
    <xf numFmtId="49" fontId="3" fillId="6" borderId="30" xfId="0" applyNumberFormat="1" applyFont="1" applyFill="1" applyBorder="1" applyAlignment="1">
      <alignment horizontal="center" vertical="top"/>
    </xf>
    <xf numFmtId="0" fontId="3" fillId="6" borderId="61" xfId="0" applyFont="1" applyFill="1" applyBorder="1" applyAlignment="1">
      <alignment vertical="center" wrapText="1"/>
    </xf>
    <xf numFmtId="0" fontId="3" fillId="6" borderId="28" xfId="0" applyFont="1" applyFill="1" applyBorder="1" applyAlignment="1">
      <alignment horizontal="center" vertical="center"/>
    </xf>
    <xf numFmtId="165" fontId="3" fillId="6" borderId="42" xfId="0" applyNumberFormat="1" applyFont="1" applyFill="1" applyBorder="1" applyAlignment="1">
      <alignment horizontal="center" vertical="center"/>
    </xf>
    <xf numFmtId="165" fontId="3" fillId="6" borderId="20" xfId="0" applyNumberFormat="1" applyFont="1" applyFill="1" applyBorder="1" applyAlignment="1">
      <alignment horizontal="center" vertical="center"/>
    </xf>
    <xf numFmtId="165" fontId="3" fillId="6" borderId="61" xfId="0" applyNumberFormat="1" applyFont="1" applyFill="1" applyBorder="1" applyAlignment="1">
      <alignment horizontal="center" vertical="center"/>
    </xf>
    <xf numFmtId="165" fontId="3" fillId="6" borderId="0" xfId="0" applyNumberFormat="1" applyFont="1" applyFill="1" applyBorder="1" applyAlignment="1">
      <alignment vertical="top"/>
    </xf>
    <xf numFmtId="165" fontId="3" fillId="6" borderId="46" xfId="0" applyNumberFormat="1" applyFont="1" applyFill="1" applyBorder="1" applyAlignment="1">
      <alignment vertical="top"/>
    </xf>
    <xf numFmtId="165" fontId="3" fillId="6" borderId="29" xfId="0" applyNumberFormat="1" applyFont="1" applyFill="1" applyBorder="1" applyAlignment="1">
      <alignment vertical="top"/>
    </xf>
    <xf numFmtId="0" fontId="5" fillId="6" borderId="1" xfId="0" applyFont="1" applyFill="1" applyBorder="1" applyAlignment="1">
      <alignment horizontal="center" vertical="top" wrapText="1"/>
    </xf>
    <xf numFmtId="3" fontId="3" fillId="6" borderId="37" xfId="0" applyNumberFormat="1" applyFont="1" applyFill="1" applyBorder="1" applyAlignment="1">
      <alignment horizontal="center" vertical="top"/>
    </xf>
    <xf numFmtId="3" fontId="3" fillId="6" borderId="15" xfId="0" applyNumberFormat="1" applyFont="1" applyFill="1" applyBorder="1" applyAlignment="1">
      <alignment horizontal="center" vertical="top"/>
    </xf>
    <xf numFmtId="3" fontId="3" fillId="6" borderId="48" xfId="0" applyNumberFormat="1" applyFont="1" applyFill="1" applyBorder="1" applyAlignment="1">
      <alignment horizontal="center" vertical="top"/>
    </xf>
    <xf numFmtId="3" fontId="3" fillId="6" borderId="40" xfId="0" applyNumberFormat="1" applyFont="1" applyFill="1" applyBorder="1" applyAlignment="1">
      <alignment horizontal="center" vertical="top"/>
    </xf>
    <xf numFmtId="165" fontId="5" fillId="8" borderId="58" xfId="0" applyNumberFormat="1" applyFont="1" applyFill="1" applyBorder="1" applyAlignment="1">
      <alignment horizontal="center" vertical="top"/>
    </xf>
    <xf numFmtId="0" fontId="5" fillId="6" borderId="99" xfId="0" applyFont="1" applyFill="1" applyBorder="1" applyAlignment="1">
      <alignment horizontal="center" vertical="top" wrapText="1"/>
    </xf>
    <xf numFmtId="0" fontId="5" fillId="6" borderId="39" xfId="0" applyFont="1" applyFill="1" applyBorder="1" applyAlignment="1">
      <alignment horizontal="center" vertical="top" wrapText="1"/>
    </xf>
    <xf numFmtId="0" fontId="5" fillId="6" borderId="55" xfId="0" applyFont="1" applyFill="1" applyBorder="1" applyAlignment="1">
      <alignment horizontal="center" vertical="top" wrapText="1"/>
    </xf>
    <xf numFmtId="0" fontId="5" fillId="6" borderId="37" xfId="0" applyFont="1" applyFill="1" applyBorder="1" applyAlignment="1">
      <alignment horizontal="center" vertical="top" wrapText="1"/>
    </xf>
    <xf numFmtId="0" fontId="5" fillId="6" borderId="45" xfId="0" applyFont="1" applyFill="1" applyBorder="1" applyAlignment="1">
      <alignment horizontal="center" vertical="top" wrapText="1"/>
    </xf>
    <xf numFmtId="0" fontId="5" fillId="8" borderId="115" xfId="0" applyFont="1" applyFill="1" applyBorder="1" applyAlignment="1">
      <alignment horizontal="center" vertical="top"/>
    </xf>
    <xf numFmtId="49" fontId="5" fillId="6" borderId="0" xfId="0" applyNumberFormat="1" applyFont="1" applyFill="1" applyBorder="1" applyAlignment="1">
      <alignment horizontal="center" vertical="top" wrapText="1"/>
    </xf>
    <xf numFmtId="3" fontId="5" fillId="0" borderId="68" xfId="0" applyNumberFormat="1" applyFont="1" applyBorder="1" applyAlignment="1">
      <alignment horizontal="center" vertical="center" wrapText="1"/>
    </xf>
    <xf numFmtId="0" fontId="5" fillId="0" borderId="21" xfId="0" applyFont="1" applyBorder="1" applyAlignment="1">
      <alignment horizontal="center" vertical="center" wrapText="1"/>
    </xf>
    <xf numFmtId="0" fontId="3" fillId="6" borderId="30" xfId="0" applyFont="1" applyFill="1" applyBorder="1" applyAlignment="1">
      <alignment vertical="top" wrapText="1"/>
    </xf>
    <xf numFmtId="49" fontId="5" fillId="10" borderId="9" xfId="0" applyNumberFormat="1" applyFont="1" applyFill="1" applyBorder="1" applyAlignment="1">
      <alignment horizontal="center" vertical="top"/>
    </xf>
    <xf numFmtId="49" fontId="5" fillId="6" borderId="14" xfId="0" applyNumberFormat="1" applyFont="1" applyFill="1" applyBorder="1" applyAlignment="1">
      <alignment horizontal="center" vertical="top" wrapText="1"/>
    </xf>
    <xf numFmtId="0" fontId="5" fillId="6" borderId="14" xfId="0" applyFont="1" applyFill="1" applyBorder="1" applyAlignment="1">
      <alignment horizontal="center" vertical="top" wrapText="1"/>
    </xf>
    <xf numFmtId="3" fontId="3" fillId="6" borderId="46" xfId="0" applyNumberFormat="1" applyFont="1" applyFill="1" applyBorder="1" applyAlignment="1">
      <alignment horizontal="center" vertical="top" wrapText="1"/>
    </xf>
    <xf numFmtId="3" fontId="3" fillId="6" borderId="16" xfId="0" applyNumberFormat="1" applyFont="1" applyFill="1" applyBorder="1" applyAlignment="1">
      <alignment horizontal="center" vertical="top" wrapText="1"/>
    </xf>
    <xf numFmtId="49" fontId="5" fillId="3" borderId="46" xfId="0" applyNumberFormat="1" applyFont="1" applyFill="1" applyBorder="1" applyAlignment="1">
      <alignment horizontal="center" vertical="top"/>
    </xf>
    <xf numFmtId="0" fontId="3" fillId="6" borderId="9" xfId="1" applyFont="1" applyFill="1" applyBorder="1" applyAlignment="1">
      <alignment vertical="top" wrapText="1"/>
    </xf>
    <xf numFmtId="0" fontId="3" fillId="6" borderId="8" xfId="0" applyFont="1" applyFill="1" applyBorder="1" applyAlignment="1">
      <alignment horizontal="center" vertical="top" wrapText="1"/>
    </xf>
    <xf numFmtId="49" fontId="5" fillId="8" borderId="14" xfId="0" applyNumberFormat="1" applyFont="1" applyFill="1" applyBorder="1" applyAlignment="1">
      <alignment horizontal="center" vertical="top"/>
    </xf>
    <xf numFmtId="49" fontId="3" fillId="6" borderId="8" xfId="0" applyNumberFormat="1" applyFont="1" applyFill="1" applyBorder="1" applyAlignment="1">
      <alignment horizontal="center" vertical="center" wrapText="1"/>
    </xf>
    <xf numFmtId="0" fontId="2" fillId="6" borderId="14" xfId="0" applyFont="1" applyFill="1" applyBorder="1" applyAlignment="1">
      <alignment horizontal="center" vertical="center" textRotation="90" wrapText="1"/>
    </xf>
    <xf numFmtId="49" fontId="5" fillId="6" borderId="46" xfId="0" applyNumberFormat="1" applyFont="1" applyFill="1" applyBorder="1" applyAlignment="1">
      <alignment horizontal="center" vertical="top"/>
    </xf>
    <xf numFmtId="0" fontId="5" fillId="6" borderId="30" xfId="0" applyFont="1" applyFill="1" applyBorder="1" applyAlignment="1">
      <alignment horizontal="center" vertical="top" wrapText="1"/>
    </xf>
    <xf numFmtId="49" fontId="5" fillId="6" borderId="14" xfId="0" applyNumberFormat="1" applyFont="1" applyFill="1" applyBorder="1" applyAlignment="1">
      <alignment vertical="top"/>
    </xf>
    <xf numFmtId="164" fontId="3" fillId="6" borderId="28" xfId="0" applyNumberFormat="1" applyFont="1" applyFill="1" applyBorder="1" applyAlignment="1">
      <alignment horizontal="center" vertical="top"/>
    </xf>
    <xf numFmtId="0" fontId="3" fillId="6" borderId="14" xfId="0" applyFont="1" applyFill="1" applyBorder="1" applyAlignment="1">
      <alignment horizontal="left" vertical="top" wrapText="1"/>
    </xf>
    <xf numFmtId="49" fontId="3" fillId="6" borderId="75" xfId="0" applyNumberFormat="1" applyFont="1" applyFill="1" applyBorder="1" applyAlignment="1">
      <alignment horizontal="center" vertical="top"/>
    </xf>
    <xf numFmtId="49" fontId="3" fillId="6" borderId="79" xfId="0" applyNumberFormat="1" applyFont="1" applyFill="1" applyBorder="1" applyAlignment="1">
      <alignment horizontal="center" vertical="top" wrapText="1"/>
    </xf>
    <xf numFmtId="49" fontId="3" fillId="6" borderId="28"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3" borderId="14" xfId="0" applyNumberFormat="1" applyFont="1" applyFill="1" applyBorder="1" applyAlignment="1">
      <alignment horizontal="center" vertical="top"/>
    </xf>
    <xf numFmtId="0" fontId="3" fillId="6" borderId="36" xfId="0" applyFont="1" applyFill="1" applyBorder="1" applyAlignment="1">
      <alignment vertical="top" wrapText="1"/>
    </xf>
    <xf numFmtId="0" fontId="5" fillId="6" borderId="30" xfId="0" applyFont="1" applyFill="1" applyBorder="1" applyAlignment="1">
      <alignment horizontal="center" vertical="top" wrapText="1"/>
    </xf>
    <xf numFmtId="49" fontId="5" fillId="10" borderId="10" xfId="0" applyNumberFormat="1" applyFont="1" applyFill="1" applyBorder="1" applyAlignment="1">
      <alignment horizontal="center" vertical="top"/>
    </xf>
    <xf numFmtId="49" fontId="5" fillId="3" borderId="55" xfId="0" applyNumberFormat="1" applyFont="1" applyFill="1" applyBorder="1" applyAlignment="1">
      <alignment horizontal="center" vertical="top"/>
    </xf>
    <xf numFmtId="49" fontId="5" fillId="6" borderId="46" xfId="0" applyNumberFormat="1" applyFont="1" applyFill="1" applyBorder="1" applyAlignment="1">
      <alignment horizontal="center" vertical="top"/>
    </xf>
    <xf numFmtId="49" fontId="3" fillId="0" borderId="0" xfId="0" applyNumberFormat="1" applyFont="1" applyBorder="1" applyAlignment="1">
      <alignment vertical="top"/>
    </xf>
    <xf numFmtId="3" fontId="5" fillId="6" borderId="46" xfId="0" applyNumberFormat="1" applyFont="1" applyFill="1" applyBorder="1" applyAlignment="1">
      <alignment horizontal="center" vertical="top"/>
    </xf>
    <xf numFmtId="0" fontId="21" fillId="6" borderId="27" xfId="0" applyFont="1" applyFill="1" applyBorder="1" applyAlignment="1">
      <alignment horizontal="left" vertical="top" wrapText="1"/>
    </xf>
    <xf numFmtId="49" fontId="5" fillId="0" borderId="30"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3" borderId="14" xfId="0" applyNumberFormat="1" applyFont="1" applyFill="1" applyBorder="1" applyAlignment="1">
      <alignment horizontal="center" vertical="top"/>
    </xf>
    <xf numFmtId="49" fontId="21" fillId="6" borderId="8" xfId="0" applyNumberFormat="1" applyFont="1" applyFill="1" applyBorder="1" applyAlignment="1">
      <alignment horizontal="center" vertical="center" wrapText="1"/>
    </xf>
    <xf numFmtId="49" fontId="5" fillId="6" borderId="46" xfId="0" applyNumberFormat="1" applyFont="1" applyFill="1" applyBorder="1" applyAlignment="1">
      <alignment horizontal="center" vertical="top"/>
    </xf>
    <xf numFmtId="3" fontId="21" fillId="6" borderId="18" xfId="0" applyNumberFormat="1" applyFont="1" applyFill="1" applyBorder="1" applyAlignment="1">
      <alignment horizontal="center" vertical="top"/>
    </xf>
    <xf numFmtId="0" fontId="3" fillId="6" borderId="116" xfId="0" applyFont="1" applyFill="1" applyBorder="1" applyAlignment="1">
      <alignment horizontal="center" vertical="top"/>
    </xf>
    <xf numFmtId="165" fontId="3" fillId="6" borderId="116" xfId="0" applyNumberFormat="1" applyFont="1" applyFill="1" applyBorder="1" applyAlignment="1">
      <alignment horizontal="center" vertical="top"/>
    </xf>
    <xf numFmtId="165" fontId="3" fillId="6" borderId="117" xfId="0" applyNumberFormat="1" applyFont="1" applyFill="1" applyBorder="1" applyAlignment="1">
      <alignment horizontal="right" vertical="top"/>
    </xf>
    <xf numFmtId="0" fontId="3" fillId="6" borderId="14" xfId="0" applyFont="1" applyFill="1" applyBorder="1" applyAlignment="1">
      <alignment horizontal="left" vertical="top" wrapText="1"/>
    </xf>
    <xf numFmtId="49" fontId="3" fillId="6" borderId="8" xfId="0" applyNumberFormat="1" applyFont="1" applyFill="1" applyBorder="1" applyAlignment="1">
      <alignment horizontal="center" vertical="top" wrapText="1"/>
    </xf>
    <xf numFmtId="49" fontId="5" fillId="3" borderId="46" xfId="0" applyNumberFormat="1" applyFont="1" applyFill="1" applyBorder="1" applyAlignment="1">
      <alignment horizontal="center" vertical="top"/>
    </xf>
    <xf numFmtId="49" fontId="5" fillId="6" borderId="14" xfId="0" applyNumberFormat="1" applyFont="1" applyFill="1" applyBorder="1" applyAlignment="1">
      <alignment horizontal="center" vertical="top"/>
    </xf>
    <xf numFmtId="0" fontId="3" fillId="6" borderId="35" xfId="0" applyFont="1" applyFill="1" applyBorder="1" applyAlignment="1">
      <alignment horizontal="center" vertical="center" textRotation="90" wrapText="1"/>
    </xf>
    <xf numFmtId="0" fontId="3" fillId="6" borderId="8" xfId="0" applyFont="1" applyFill="1" applyBorder="1" applyAlignment="1">
      <alignment horizontal="center" vertical="top" wrapText="1"/>
    </xf>
    <xf numFmtId="0" fontId="3" fillId="6" borderId="14" xfId="0" applyFont="1" applyFill="1" applyBorder="1" applyAlignment="1">
      <alignment horizontal="center" vertical="center" textRotation="90" wrapText="1"/>
    </xf>
    <xf numFmtId="0" fontId="3" fillId="6" borderId="118" xfId="0" applyFont="1" applyFill="1" applyBorder="1" applyAlignment="1">
      <alignment vertical="top" wrapText="1"/>
    </xf>
    <xf numFmtId="0" fontId="3" fillId="6" borderId="35" xfId="0" applyFont="1" applyFill="1" applyBorder="1" applyAlignment="1">
      <alignment vertical="top" wrapText="1"/>
    </xf>
    <xf numFmtId="3" fontId="3" fillId="6" borderId="89" xfId="0" applyNumberFormat="1" applyFont="1" applyFill="1" applyBorder="1" applyAlignment="1">
      <alignment horizontal="center" vertical="top"/>
    </xf>
    <xf numFmtId="3" fontId="3" fillId="6" borderId="71" xfId="0" applyNumberFormat="1" applyFont="1" applyFill="1" applyBorder="1" applyAlignment="1">
      <alignment horizontal="center" vertical="top"/>
    </xf>
    <xf numFmtId="49" fontId="5" fillId="6" borderId="18" xfId="0" applyNumberFormat="1" applyFont="1" applyFill="1" applyBorder="1" applyAlignment="1">
      <alignment horizontal="center" vertical="top" wrapText="1"/>
    </xf>
    <xf numFmtId="0" fontId="7" fillId="6" borderId="30" xfId="0" applyFont="1" applyFill="1" applyBorder="1" applyAlignment="1">
      <alignment horizontal="center" vertical="top" wrapText="1"/>
    </xf>
    <xf numFmtId="49" fontId="5" fillId="10" borderId="9"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0" fontId="3" fillId="6" borderId="8" xfId="0" applyFont="1" applyFill="1" applyBorder="1" applyAlignment="1">
      <alignment horizontal="center" vertical="top" wrapText="1"/>
    </xf>
    <xf numFmtId="0" fontId="3" fillId="6" borderId="41" xfId="1" applyFont="1" applyFill="1" applyBorder="1" applyAlignment="1">
      <alignment vertical="top" wrapText="1"/>
    </xf>
    <xf numFmtId="49" fontId="5" fillId="6" borderId="14" xfId="0" applyNumberFormat="1" applyFont="1" applyFill="1" applyBorder="1" applyAlignment="1">
      <alignment horizontal="center" vertical="top"/>
    </xf>
    <xf numFmtId="0" fontId="3" fillId="6" borderId="53" xfId="0" applyFont="1" applyFill="1" applyBorder="1" applyAlignment="1">
      <alignment vertical="top" wrapText="1"/>
    </xf>
    <xf numFmtId="0" fontId="3" fillId="6" borderId="36" xfId="0" applyFont="1" applyFill="1" applyBorder="1" applyAlignment="1">
      <alignment vertical="top" wrapText="1"/>
    </xf>
    <xf numFmtId="0" fontId="3" fillId="6" borderId="46" xfId="0" applyFont="1" applyFill="1" applyBorder="1" applyAlignment="1">
      <alignment horizontal="center" vertical="center" textRotation="90" wrapText="1"/>
    </xf>
    <xf numFmtId="0" fontId="5" fillId="6" borderId="14" xfId="0" applyFont="1" applyFill="1" applyBorder="1" applyAlignment="1">
      <alignment horizontal="left" vertical="top" wrapText="1"/>
    </xf>
    <xf numFmtId="0" fontId="3" fillId="6" borderId="9" xfId="0" applyFont="1" applyFill="1" applyBorder="1" applyAlignment="1">
      <alignment vertical="top" wrapText="1"/>
    </xf>
    <xf numFmtId="3" fontId="3" fillId="6" borderId="46" xfId="0" applyNumberFormat="1" applyFont="1" applyFill="1" applyBorder="1" applyAlignment="1">
      <alignment horizontal="center" vertical="top" wrapText="1"/>
    </xf>
    <xf numFmtId="3" fontId="3" fillId="6" borderId="16" xfId="0" applyNumberFormat="1" applyFont="1" applyFill="1" applyBorder="1" applyAlignment="1">
      <alignment horizontal="center" vertical="top" wrapText="1"/>
    </xf>
    <xf numFmtId="0" fontId="3" fillId="6" borderId="53" xfId="0" applyFont="1" applyFill="1" applyBorder="1" applyAlignment="1">
      <alignment horizontal="left" vertical="top" wrapText="1"/>
    </xf>
    <xf numFmtId="0" fontId="3" fillId="6" borderId="96" xfId="0" applyFont="1" applyFill="1" applyBorder="1" applyAlignment="1">
      <alignment horizontal="left" vertical="top" wrapText="1"/>
    </xf>
    <xf numFmtId="0" fontId="3" fillId="6" borderId="88" xfId="0" applyFont="1" applyFill="1" applyBorder="1" applyAlignment="1">
      <alignment vertical="top" wrapText="1"/>
    </xf>
    <xf numFmtId="3" fontId="5" fillId="15" borderId="44" xfId="0" applyNumberFormat="1" applyFont="1" applyFill="1" applyBorder="1" applyAlignment="1">
      <alignment horizontal="center" vertical="top"/>
    </xf>
    <xf numFmtId="3" fontId="3" fillId="6" borderId="76" xfId="0" applyNumberFormat="1" applyFont="1" applyFill="1" applyBorder="1" applyAlignment="1">
      <alignment horizontal="center" vertical="top" wrapText="1"/>
    </xf>
    <xf numFmtId="3" fontId="3" fillId="6" borderId="76" xfId="0" applyNumberFormat="1" applyFont="1" applyFill="1" applyBorder="1" applyAlignment="1">
      <alignment horizontal="center" vertical="top"/>
    </xf>
    <xf numFmtId="3" fontId="16" fillId="6" borderId="76" xfId="0" applyNumberFormat="1" applyFont="1" applyFill="1" applyBorder="1" applyAlignment="1">
      <alignment horizontal="center" vertical="top"/>
    </xf>
    <xf numFmtId="3" fontId="16" fillId="6" borderId="70" xfId="0" applyNumberFormat="1" applyFont="1" applyFill="1" applyBorder="1" applyAlignment="1">
      <alignment horizontal="center" vertical="top"/>
    </xf>
    <xf numFmtId="0" fontId="3" fillId="6" borderId="14" xfId="0" applyFont="1" applyFill="1" applyBorder="1" applyAlignment="1">
      <alignment horizontal="left" vertical="top" wrapText="1"/>
    </xf>
    <xf numFmtId="0" fontId="3" fillId="0" borderId="45" xfId="0" applyFont="1" applyBorder="1" applyAlignment="1">
      <alignment horizontal="center" vertical="top"/>
    </xf>
    <xf numFmtId="4" fontId="3" fillId="0" borderId="45" xfId="0" applyNumberFormat="1" applyFont="1" applyFill="1" applyBorder="1" applyAlignment="1">
      <alignment vertical="top"/>
    </xf>
    <xf numFmtId="0" fontId="3" fillId="0" borderId="66" xfId="0" applyFont="1" applyBorder="1" applyAlignment="1">
      <alignment horizontal="left" vertical="top" wrapText="1"/>
    </xf>
    <xf numFmtId="0" fontId="3" fillId="0" borderId="39" xfId="0" applyFont="1" applyBorder="1" applyAlignment="1">
      <alignment horizontal="left" vertical="top" wrapText="1"/>
    </xf>
    <xf numFmtId="0" fontId="3" fillId="0" borderId="40" xfId="0" applyFont="1" applyBorder="1" applyAlignment="1">
      <alignment horizontal="left" vertical="top" wrapText="1"/>
    </xf>
    <xf numFmtId="0" fontId="3" fillId="2" borderId="61" xfId="0" applyFont="1" applyFill="1" applyBorder="1" applyAlignment="1">
      <alignment horizontal="left" vertical="top" wrapText="1"/>
    </xf>
    <xf numFmtId="0" fontId="3" fillId="2" borderId="45" xfId="0" applyFont="1" applyFill="1" applyBorder="1" applyAlignment="1">
      <alignment horizontal="left" vertical="top" wrapText="1"/>
    </xf>
    <xf numFmtId="0" fontId="3" fillId="2" borderId="51" xfId="0" applyFont="1" applyFill="1" applyBorder="1" applyAlignment="1">
      <alignment horizontal="left" vertical="top" wrapText="1"/>
    </xf>
    <xf numFmtId="0" fontId="5" fillId="5" borderId="31" xfId="0" applyFont="1" applyFill="1" applyBorder="1" applyAlignment="1">
      <alignment horizontal="right" vertical="top" wrapText="1"/>
    </xf>
    <xf numFmtId="0" fontId="5" fillId="5" borderId="26" xfId="0" applyFont="1" applyFill="1" applyBorder="1" applyAlignment="1">
      <alignment horizontal="right" vertical="top" wrapText="1"/>
    </xf>
    <xf numFmtId="0" fontId="5" fillId="5" borderId="32" xfId="0" applyFont="1" applyFill="1" applyBorder="1" applyAlignment="1">
      <alignment horizontal="right" vertical="top" wrapText="1"/>
    </xf>
    <xf numFmtId="3" fontId="4" fillId="6" borderId="0" xfId="0" applyNumberFormat="1" applyFont="1" applyFill="1" applyAlignment="1">
      <alignment horizontal="left" vertical="top" wrapText="1"/>
    </xf>
    <xf numFmtId="0" fontId="32" fillId="6" borderId="0" xfId="0" applyFont="1" applyFill="1" applyAlignment="1">
      <alignment vertical="top"/>
    </xf>
    <xf numFmtId="3" fontId="4" fillId="0" borderId="0" xfId="0" applyNumberFormat="1" applyFont="1" applyAlignment="1">
      <alignment horizontal="center" vertical="top" wrapText="1"/>
    </xf>
    <xf numFmtId="0" fontId="6" fillId="0" borderId="0" xfId="0" applyFont="1" applyAlignment="1">
      <alignment horizontal="center" vertical="top" wrapText="1"/>
    </xf>
    <xf numFmtId="0" fontId="4" fillId="0" borderId="0" xfId="0" applyFont="1" applyAlignment="1">
      <alignment horizontal="center" vertical="top"/>
    </xf>
    <xf numFmtId="0" fontId="3" fillId="0" borderId="26" xfId="0" applyFont="1" applyBorder="1" applyAlignment="1">
      <alignment horizontal="right" vertical="top"/>
    </xf>
    <xf numFmtId="0" fontId="0" fillId="0" borderId="26" xfId="0" applyFont="1" applyBorder="1" applyAlignment="1">
      <alignment vertical="top"/>
    </xf>
    <xf numFmtId="0" fontId="3" fillId="8" borderId="66"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40" xfId="0" applyFont="1" applyFill="1" applyBorder="1" applyAlignment="1">
      <alignment horizontal="left" vertical="top" wrapText="1"/>
    </xf>
    <xf numFmtId="0" fontId="5" fillId="4" borderId="66" xfId="0" applyFont="1" applyFill="1" applyBorder="1" applyAlignment="1">
      <alignment horizontal="right" vertical="top" wrapText="1"/>
    </xf>
    <xf numFmtId="0" fontId="5" fillId="4" borderId="39" xfId="0" applyFont="1" applyFill="1" applyBorder="1" applyAlignment="1">
      <alignment horizontal="right" vertical="top" wrapText="1"/>
    </xf>
    <xf numFmtId="0" fontId="5" fillId="4" borderId="40" xfId="0" applyFont="1" applyFill="1" applyBorder="1" applyAlignment="1">
      <alignment horizontal="right" vertical="top" wrapText="1"/>
    </xf>
    <xf numFmtId="165" fontId="3" fillId="2" borderId="66" xfId="0" applyNumberFormat="1" applyFont="1" applyFill="1" applyBorder="1" applyAlignment="1">
      <alignment horizontal="left" vertical="top" wrapText="1"/>
    </xf>
    <xf numFmtId="165" fontId="3" fillId="2" borderId="39" xfId="0" applyNumberFormat="1" applyFont="1" applyFill="1" applyBorder="1" applyAlignment="1">
      <alignment horizontal="left" vertical="top" wrapText="1"/>
    </xf>
    <xf numFmtId="165" fontId="3" fillId="2" borderId="40" xfId="0" applyNumberFormat="1" applyFont="1" applyFill="1" applyBorder="1" applyAlignment="1">
      <alignment horizontal="left" vertical="top" wrapText="1"/>
    </xf>
    <xf numFmtId="0" fontId="3" fillId="6" borderId="66" xfId="0" applyFont="1" applyFill="1" applyBorder="1" applyAlignment="1">
      <alignment horizontal="left" vertical="top" wrapText="1"/>
    </xf>
    <xf numFmtId="0" fontId="3" fillId="6" borderId="39" xfId="0" applyFont="1" applyFill="1" applyBorder="1" applyAlignment="1">
      <alignment horizontal="left" vertical="top" wrapText="1"/>
    </xf>
    <xf numFmtId="0" fontId="3" fillId="6" borderId="40" xfId="0" applyFont="1" applyFill="1" applyBorder="1" applyAlignment="1">
      <alignment horizontal="left" vertical="top" wrapText="1"/>
    </xf>
    <xf numFmtId="3" fontId="3" fillId="0" borderId="37" xfId="0" applyNumberFormat="1" applyFont="1" applyFill="1" applyBorder="1" applyAlignment="1">
      <alignment horizontal="left" vertical="top"/>
    </xf>
    <xf numFmtId="49" fontId="5" fillId="0" borderId="0" xfId="0" applyNumberFormat="1" applyFont="1" applyFill="1" applyBorder="1" applyAlignment="1">
      <alignment horizontal="center" vertical="top" wrapText="1"/>
    </xf>
    <xf numFmtId="3" fontId="5" fillId="0" borderId="56" xfId="0" applyNumberFormat="1" applyFont="1" applyBorder="1" applyAlignment="1">
      <alignment horizontal="center" vertical="center" wrapText="1"/>
    </xf>
    <xf numFmtId="3" fontId="5" fillId="0" borderId="59" xfId="0" applyNumberFormat="1" applyFont="1" applyBorder="1" applyAlignment="1">
      <alignment horizontal="center" vertical="center" wrapText="1"/>
    </xf>
    <xf numFmtId="3" fontId="5" fillId="0" borderId="60" xfId="0" applyNumberFormat="1" applyFont="1" applyBorder="1" applyAlignment="1">
      <alignment horizontal="center" vertical="center" wrapText="1"/>
    </xf>
    <xf numFmtId="0" fontId="5" fillId="4" borderId="68" xfId="0" applyFont="1" applyFill="1" applyBorder="1" applyAlignment="1">
      <alignment horizontal="right" vertical="top" wrapText="1"/>
    </xf>
    <xf numFmtId="0" fontId="5" fillId="4" borderId="62" xfId="0" applyFont="1" applyFill="1" applyBorder="1" applyAlignment="1">
      <alignment horizontal="right" vertical="top" wrapText="1"/>
    </xf>
    <xf numFmtId="0" fontId="5" fillId="4" borderId="57" xfId="0" applyFont="1" applyFill="1" applyBorder="1" applyAlignment="1">
      <alignment horizontal="right" vertical="top" wrapText="1"/>
    </xf>
    <xf numFmtId="0" fontId="5" fillId="8" borderId="66" xfId="0" applyFont="1" applyFill="1" applyBorder="1" applyAlignment="1">
      <alignment horizontal="right" vertical="top" wrapText="1"/>
    </xf>
    <xf numFmtId="0" fontId="7" fillId="8" borderId="39" xfId="0" applyFont="1" applyFill="1" applyBorder="1" applyAlignment="1">
      <alignment horizontal="right" vertical="top" wrapText="1"/>
    </xf>
    <xf numFmtId="0" fontId="7" fillId="8" borderId="40" xfId="0" applyFont="1" applyFill="1" applyBorder="1" applyAlignment="1">
      <alignment horizontal="right" vertical="top" wrapText="1"/>
    </xf>
    <xf numFmtId="0" fontId="3" fillId="6" borderId="61" xfId="0" applyFont="1" applyFill="1" applyBorder="1" applyAlignment="1">
      <alignment horizontal="left" vertical="top" wrapText="1"/>
    </xf>
    <xf numFmtId="0" fontId="3" fillId="6" borderId="45" xfId="0" applyFont="1" applyFill="1" applyBorder="1" applyAlignment="1">
      <alignment horizontal="left" vertical="top" wrapText="1"/>
    </xf>
    <xf numFmtId="0" fontId="3" fillId="6" borderId="51" xfId="0" applyFont="1" applyFill="1" applyBorder="1" applyAlignment="1">
      <alignment horizontal="left" vertical="top" wrapText="1"/>
    </xf>
    <xf numFmtId="49" fontId="5" fillId="3" borderId="69" xfId="0" applyNumberFormat="1" applyFont="1" applyFill="1" applyBorder="1" applyAlignment="1">
      <alignment horizontal="right" vertical="top"/>
    </xf>
    <xf numFmtId="49" fontId="5" fillId="3" borderId="59" xfId="0" applyNumberFormat="1" applyFont="1" applyFill="1" applyBorder="1" applyAlignment="1">
      <alignment horizontal="right" vertical="top"/>
    </xf>
    <xf numFmtId="49" fontId="5" fillId="3" borderId="60" xfId="0" applyNumberFormat="1" applyFont="1" applyFill="1" applyBorder="1" applyAlignment="1">
      <alignment horizontal="right" vertical="top"/>
    </xf>
    <xf numFmtId="49" fontId="5" fillId="10" borderId="69" xfId="0" applyNumberFormat="1" applyFont="1" applyFill="1" applyBorder="1" applyAlignment="1">
      <alignment horizontal="right" vertical="top"/>
    </xf>
    <xf numFmtId="49" fontId="5" fillId="10" borderId="59" xfId="0" applyNumberFormat="1" applyFont="1" applyFill="1" applyBorder="1" applyAlignment="1">
      <alignment horizontal="right" vertical="top"/>
    </xf>
    <xf numFmtId="0" fontId="3" fillId="10" borderId="59" xfId="0" applyFont="1" applyFill="1" applyBorder="1" applyAlignment="1">
      <alignment horizontal="center" vertical="top" wrapText="1"/>
    </xf>
    <xf numFmtId="0" fontId="7" fillId="0" borderId="59" xfId="0" applyFont="1" applyBorder="1" applyAlignment="1">
      <alignment horizontal="center" vertical="top" wrapText="1"/>
    </xf>
    <xf numFmtId="0" fontId="7" fillId="0" borderId="60" xfId="0" applyFont="1" applyBorder="1" applyAlignment="1">
      <alignment horizontal="center" vertical="top" wrapText="1"/>
    </xf>
    <xf numFmtId="49" fontId="5" fillId="4" borderId="69" xfId="0" applyNumberFormat="1" applyFont="1" applyFill="1" applyBorder="1" applyAlignment="1">
      <alignment horizontal="right" vertical="top"/>
    </xf>
    <xf numFmtId="49" fontId="5" fillId="4" borderId="59" xfId="0" applyNumberFormat="1" applyFont="1" applyFill="1" applyBorder="1" applyAlignment="1">
      <alignment horizontal="right" vertical="top"/>
    </xf>
    <xf numFmtId="0" fontId="3" fillId="4" borderId="59" xfId="0" applyFont="1" applyFill="1" applyBorder="1" applyAlignment="1">
      <alignment horizontal="center" vertical="top"/>
    </xf>
    <xf numFmtId="0" fontId="3" fillId="4" borderId="60" xfId="0" applyFont="1" applyFill="1" applyBorder="1" applyAlignment="1">
      <alignment horizontal="center" vertical="top"/>
    </xf>
    <xf numFmtId="0" fontId="3" fillId="6" borderId="18" xfId="0" applyFont="1" applyFill="1" applyBorder="1" applyAlignment="1">
      <alignment vertical="top" wrapText="1"/>
    </xf>
    <xf numFmtId="0" fontId="3" fillId="6" borderId="30" xfId="0" applyFont="1" applyFill="1" applyBorder="1" applyAlignment="1">
      <alignment vertical="top" wrapText="1"/>
    </xf>
    <xf numFmtId="0" fontId="5" fillId="9" borderId="69" xfId="0" applyFont="1" applyFill="1" applyBorder="1" applyAlignment="1">
      <alignment horizontal="left" vertical="top" wrapText="1"/>
    </xf>
    <xf numFmtId="0" fontId="7" fillId="9" borderId="59" xfId="0" applyFont="1" applyFill="1" applyBorder="1" applyAlignment="1">
      <alignment horizontal="left" vertical="top" wrapText="1"/>
    </xf>
    <xf numFmtId="0" fontId="5" fillId="6" borderId="24" xfId="0" applyFont="1" applyFill="1" applyBorder="1" applyAlignment="1">
      <alignment horizontal="left" vertical="top" wrapText="1"/>
    </xf>
    <xf numFmtId="0" fontId="5" fillId="6" borderId="30" xfId="0" applyFont="1" applyFill="1" applyBorder="1" applyAlignment="1">
      <alignment horizontal="left" vertical="top" wrapText="1"/>
    </xf>
    <xf numFmtId="49" fontId="15" fillId="10" borderId="61" xfId="0" applyNumberFormat="1" applyFont="1" applyFill="1" applyBorder="1" applyAlignment="1">
      <alignment horizontal="center" vertical="top"/>
    </xf>
    <xf numFmtId="49" fontId="15" fillId="10" borderId="36" xfId="0" applyNumberFormat="1" applyFont="1" applyFill="1" applyBorder="1" applyAlignment="1">
      <alignment horizontal="center" vertical="top"/>
    </xf>
    <xf numFmtId="49" fontId="15" fillId="9" borderId="30" xfId="0" applyNumberFormat="1" applyFont="1" applyFill="1" applyBorder="1" applyAlignment="1">
      <alignment horizontal="center" vertical="top"/>
    </xf>
    <xf numFmtId="49" fontId="15" fillId="9" borderId="14" xfId="0" applyNumberFormat="1" applyFont="1" applyFill="1" applyBorder="1" applyAlignment="1">
      <alignment horizontal="center" vertical="top"/>
    </xf>
    <xf numFmtId="49" fontId="15" fillId="6" borderId="45" xfId="0" applyNumberFormat="1" applyFont="1" applyFill="1" applyBorder="1" applyAlignment="1">
      <alignment horizontal="center" vertical="top"/>
    </xf>
    <xf numFmtId="49" fontId="15" fillId="6" borderId="0" xfId="0" applyNumberFormat="1" applyFont="1" applyFill="1" applyBorder="1" applyAlignment="1">
      <alignment horizontal="center" vertical="top"/>
    </xf>
    <xf numFmtId="3" fontId="3" fillId="6" borderId="2" xfId="0" applyNumberFormat="1" applyFont="1" applyFill="1" applyBorder="1" applyAlignment="1">
      <alignment horizontal="left" vertical="top" wrapText="1"/>
    </xf>
    <xf numFmtId="3" fontId="3" fillId="6" borderId="14" xfId="0" applyNumberFormat="1" applyFont="1" applyFill="1" applyBorder="1" applyAlignment="1">
      <alignment horizontal="left" vertical="top" wrapText="1"/>
    </xf>
    <xf numFmtId="3" fontId="3" fillId="6" borderId="30" xfId="0" applyNumberFormat="1" applyFont="1" applyFill="1" applyBorder="1" applyAlignment="1">
      <alignment horizontal="left" vertical="top" wrapText="1"/>
    </xf>
    <xf numFmtId="3" fontId="5" fillId="6" borderId="44" xfId="0" applyNumberFormat="1" applyFont="1" applyFill="1" applyBorder="1" applyAlignment="1">
      <alignment horizontal="center" vertical="top" wrapText="1"/>
    </xf>
    <xf numFmtId="3" fontId="5" fillId="6" borderId="46" xfId="0" applyNumberFormat="1" applyFont="1" applyFill="1" applyBorder="1" applyAlignment="1">
      <alignment horizontal="center" vertical="top" wrapText="1"/>
    </xf>
    <xf numFmtId="3" fontId="5" fillId="6" borderId="28" xfId="0" applyNumberFormat="1" applyFont="1" applyFill="1" applyBorder="1" applyAlignment="1">
      <alignment horizontal="center" vertical="top" wrapText="1"/>
    </xf>
    <xf numFmtId="0" fontId="3" fillId="6" borderId="18" xfId="0" applyFont="1" applyFill="1" applyBorder="1" applyAlignment="1">
      <alignment horizontal="left" vertical="top" wrapText="1"/>
    </xf>
    <xf numFmtId="0" fontId="3" fillId="6" borderId="14" xfId="0" applyFont="1" applyFill="1" applyBorder="1" applyAlignment="1">
      <alignment horizontal="left" vertical="top" wrapText="1"/>
    </xf>
    <xf numFmtId="0" fontId="3" fillId="6" borderId="86" xfId="0" applyFont="1" applyFill="1" applyBorder="1" applyAlignment="1">
      <alignment horizontal="left" vertical="top" wrapText="1"/>
    </xf>
    <xf numFmtId="0" fontId="3" fillId="6" borderId="27" xfId="0" applyFont="1" applyFill="1" applyBorder="1" applyAlignment="1">
      <alignment horizontal="left" vertical="top" wrapText="1"/>
    </xf>
    <xf numFmtId="49" fontId="5" fillId="10" borderId="9" xfId="0" applyNumberFormat="1" applyFont="1" applyFill="1" applyBorder="1" applyAlignment="1">
      <alignment horizontal="center" vertical="top"/>
    </xf>
    <xf numFmtId="49" fontId="5" fillId="3" borderId="14" xfId="0" applyNumberFormat="1" applyFont="1" applyFill="1" applyBorder="1" applyAlignment="1">
      <alignment horizontal="center" vertical="top"/>
    </xf>
    <xf numFmtId="49" fontId="5" fillId="6" borderId="14" xfId="0" applyNumberFormat="1" applyFont="1" applyFill="1" applyBorder="1" applyAlignment="1">
      <alignment horizontal="center" vertical="top" wrapText="1"/>
    </xf>
    <xf numFmtId="0" fontId="3" fillId="6" borderId="14" xfId="0" applyFont="1" applyFill="1" applyBorder="1" applyAlignment="1">
      <alignment vertical="top" wrapText="1"/>
    </xf>
    <xf numFmtId="0" fontId="5" fillId="6" borderId="18" xfId="0" applyFont="1" applyFill="1" applyBorder="1" applyAlignment="1">
      <alignment horizontal="center" vertical="top" wrapText="1"/>
    </xf>
    <xf numFmtId="0" fontId="5" fillId="6" borderId="14" xfId="0" applyFont="1" applyFill="1" applyBorder="1" applyAlignment="1">
      <alignment horizontal="center" vertical="top" wrapText="1"/>
    </xf>
    <xf numFmtId="3" fontId="3" fillId="6" borderId="9" xfId="0" applyNumberFormat="1" applyFont="1" applyFill="1" applyBorder="1" applyAlignment="1">
      <alignment horizontal="left" vertical="top" wrapText="1"/>
    </xf>
    <xf numFmtId="0" fontId="3" fillId="0" borderId="0" xfId="0" applyFont="1" applyBorder="1" applyAlignment="1">
      <alignment horizontal="center" vertical="top" wrapText="1"/>
    </xf>
    <xf numFmtId="0" fontId="3" fillId="6" borderId="90" xfId="0" applyFont="1" applyFill="1" applyBorder="1" applyAlignment="1">
      <alignment vertical="top" wrapText="1"/>
    </xf>
    <xf numFmtId="0" fontId="7" fillId="6" borderId="89" xfId="0" applyFont="1" applyFill="1" applyBorder="1" applyAlignment="1">
      <alignment vertical="top" wrapText="1"/>
    </xf>
    <xf numFmtId="0" fontId="3" fillId="6" borderId="86" xfId="0" applyFont="1" applyFill="1" applyBorder="1" applyAlignment="1">
      <alignment vertical="top" wrapText="1"/>
    </xf>
    <xf numFmtId="0" fontId="7" fillId="6" borderId="87" xfId="0" applyFont="1" applyFill="1" applyBorder="1" applyAlignment="1">
      <alignment vertical="top" wrapText="1"/>
    </xf>
    <xf numFmtId="0" fontId="3" fillId="6" borderId="14" xfId="0" applyFont="1" applyFill="1" applyBorder="1" applyAlignment="1"/>
    <xf numFmtId="0" fontId="3" fillId="6" borderId="86" xfId="1" applyFont="1" applyFill="1" applyBorder="1" applyAlignment="1">
      <alignment vertical="top" wrapText="1"/>
    </xf>
    <xf numFmtId="0" fontId="3" fillId="6" borderId="87" xfId="0" applyFont="1" applyFill="1" applyBorder="1" applyAlignment="1">
      <alignment vertical="top" wrapText="1"/>
    </xf>
    <xf numFmtId="0" fontId="3" fillId="6" borderId="46" xfId="0" applyFont="1" applyFill="1" applyBorder="1" applyAlignment="1">
      <alignment horizontal="left" vertical="top" wrapText="1"/>
    </xf>
    <xf numFmtId="0" fontId="3" fillId="6" borderId="28" xfId="0" applyFont="1" applyFill="1" applyBorder="1" applyAlignment="1">
      <alignment horizontal="left" vertical="top" wrapText="1"/>
    </xf>
    <xf numFmtId="0" fontId="7" fillId="6" borderId="46" xfId="0" applyFont="1" applyFill="1" applyBorder="1" applyAlignment="1">
      <alignment horizontal="center" vertical="center" textRotation="90" wrapText="1"/>
    </xf>
    <xf numFmtId="0" fontId="7" fillId="6" borderId="30" xfId="0" applyFont="1" applyFill="1" applyBorder="1" applyAlignment="1">
      <alignment horizontal="center" vertical="center" textRotation="90" wrapText="1"/>
    </xf>
    <xf numFmtId="0" fontId="7" fillId="0" borderId="59" xfId="0" applyFont="1" applyBorder="1" applyAlignment="1">
      <alignment horizontal="left" vertical="top" wrapText="1"/>
    </xf>
    <xf numFmtId="0" fontId="7" fillId="6" borderId="14" xfId="0" applyFont="1" applyFill="1" applyBorder="1" applyAlignment="1">
      <alignment vertical="top" wrapText="1"/>
    </xf>
    <xf numFmtId="0" fontId="5" fillId="6" borderId="25" xfId="0" applyFont="1" applyFill="1" applyBorder="1" applyAlignment="1">
      <alignment horizontal="center" vertical="top" wrapText="1"/>
    </xf>
    <xf numFmtId="0" fontId="5" fillId="6" borderId="16" xfId="0" applyFont="1" applyFill="1" applyBorder="1" applyAlignment="1">
      <alignment horizontal="center" vertical="top" wrapText="1"/>
    </xf>
    <xf numFmtId="0" fontId="5" fillId="6" borderId="29" xfId="0" applyFont="1" applyFill="1" applyBorder="1" applyAlignment="1">
      <alignment horizontal="center" vertical="top" wrapText="1"/>
    </xf>
    <xf numFmtId="0" fontId="5" fillId="6" borderId="14" xfId="0" applyFont="1" applyFill="1" applyBorder="1" applyAlignment="1">
      <alignment horizontal="left" vertical="top" wrapText="1"/>
    </xf>
    <xf numFmtId="0" fontId="5" fillId="9" borderId="69" xfId="0" applyFont="1" applyFill="1" applyBorder="1" applyAlignment="1">
      <alignment vertical="center"/>
    </xf>
    <xf numFmtId="0" fontId="5" fillId="9" borderId="59" xfId="0" applyFont="1" applyFill="1" applyBorder="1" applyAlignment="1">
      <alignment vertical="center"/>
    </xf>
    <xf numFmtId="0" fontId="5" fillId="9" borderId="60" xfId="0" applyFont="1" applyFill="1" applyBorder="1" applyAlignment="1">
      <alignment vertical="center"/>
    </xf>
    <xf numFmtId="0" fontId="3" fillId="6" borderId="53" xfId="0" applyFont="1" applyFill="1" applyBorder="1" applyAlignment="1">
      <alignment vertical="top" wrapText="1"/>
    </xf>
    <xf numFmtId="0" fontId="3" fillId="6" borderId="36" xfId="0" applyFont="1" applyFill="1" applyBorder="1" applyAlignment="1">
      <alignment vertical="top" wrapText="1"/>
    </xf>
    <xf numFmtId="0" fontId="3" fillId="6" borderId="87" xfId="0" applyFont="1" applyFill="1" applyBorder="1" applyAlignment="1">
      <alignment horizontal="left" vertical="top" wrapText="1"/>
    </xf>
    <xf numFmtId="0" fontId="7" fillId="6" borderId="30" xfId="0" applyFont="1" applyFill="1" applyBorder="1" applyAlignment="1">
      <alignment horizontal="left" vertical="top" wrapText="1"/>
    </xf>
    <xf numFmtId="0" fontId="7" fillId="6" borderId="89" xfId="0" applyFont="1" applyFill="1" applyBorder="1" applyAlignment="1">
      <alignment horizontal="left" vertical="top" wrapText="1"/>
    </xf>
    <xf numFmtId="3" fontId="3" fillId="6" borderId="37"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wrapText="1"/>
    </xf>
    <xf numFmtId="3" fontId="3" fillId="6" borderId="43" xfId="0" applyNumberFormat="1" applyFont="1" applyFill="1" applyBorder="1" applyAlignment="1">
      <alignment horizontal="center" vertical="top" wrapText="1"/>
    </xf>
    <xf numFmtId="3" fontId="3" fillId="6" borderId="46" xfId="0" applyNumberFormat="1" applyFont="1" applyFill="1" applyBorder="1" applyAlignment="1">
      <alignment horizontal="center" vertical="top" wrapText="1"/>
    </xf>
    <xf numFmtId="3" fontId="3" fillId="6" borderId="25" xfId="0" applyNumberFormat="1" applyFont="1" applyFill="1" applyBorder="1" applyAlignment="1">
      <alignment horizontal="center" vertical="top" wrapText="1"/>
    </xf>
    <xf numFmtId="3" fontId="3" fillId="6" borderId="16" xfId="0" applyNumberFormat="1" applyFont="1" applyFill="1" applyBorder="1" applyAlignment="1">
      <alignment horizontal="center" vertical="top" wrapText="1"/>
    </xf>
    <xf numFmtId="49" fontId="3" fillId="6" borderId="14" xfId="0" applyNumberFormat="1" applyFont="1" applyFill="1" applyBorder="1" applyAlignment="1">
      <alignment horizontal="center" vertical="center" textRotation="90"/>
    </xf>
    <xf numFmtId="49" fontId="3" fillId="6" borderId="18" xfId="0" applyNumberFormat="1" applyFont="1" applyFill="1" applyBorder="1" applyAlignment="1">
      <alignment horizontal="center" vertical="center" textRotation="90"/>
    </xf>
    <xf numFmtId="49" fontId="5" fillId="6" borderId="14" xfId="0" applyNumberFormat="1" applyFont="1" applyFill="1" applyBorder="1" applyAlignment="1">
      <alignment horizontal="center" vertical="top"/>
    </xf>
    <xf numFmtId="0" fontId="3" fillId="6" borderId="30" xfId="0" applyFont="1" applyFill="1" applyBorder="1" applyAlignment="1">
      <alignment horizontal="left" vertical="top" wrapText="1"/>
    </xf>
    <xf numFmtId="0" fontId="3" fillId="6" borderId="38" xfId="0" applyFont="1" applyFill="1" applyBorder="1" applyAlignment="1">
      <alignment horizontal="center" vertical="center" wrapText="1"/>
    </xf>
    <xf numFmtId="0" fontId="3" fillId="6" borderId="45" xfId="0" applyFont="1" applyFill="1" applyBorder="1" applyAlignment="1">
      <alignment horizontal="center" vertical="center" wrapText="1"/>
    </xf>
    <xf numFmtId="0" fontId="3" fillId="6" borderId="44" xfId="0" applyFont="1" applyFill="1" applyBorder="1" applyAlignment="1">
      <alignment horizontal="left" vertical="top" wrapText="1"/>
    </xf>
    <xf numFmtId="0" fontId="7" fillId="6" borderId="46" xfId="0" applyFont="1" applyFill="1" applyBorder="1" applyAlignment="1">
      <alignment vertical="top" wrapText="1"/>
    </xf>
    <xf numFmtId="49" fontId="5" fillId="10" borderId="7" xfId="0" applyNumberFormat="1" applyFont="1" applyFill="1" applyBorder="1" applyAlignment="1">
      <alignment horizontal="center" vertical="top"/>
    </xf>
    <xf numFmtId="49" fontId="5" fillId="3" borderId="43"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49" fontId="5" fillId="6" borderId="24" xfId="0" applyNumberFormat="1" applyFont="1" applyFill="1" applyBorder="1" applyAlignment="1">
      <alignment horizontal="center" vertical="top"/>
    </xf>
    <xf numFmtId="0" fontId="13" fillId="6" borderId="24" xfId="0" applyFont="1" applyFill="1" applyBorder="1" applyAlignment="1">
      <alignment horizontal="left" vertical="top" wrapText="1"/>
    </xf>
    <xf numFmtId="0" fontId="13" fillId="6" borderId="30" xfId="0" applyFont="1" applyFill="1" applyBorder="1" applyAlignment="1">
      <alignment horizontal="left" vertical="top" wrapText="1"/>
    </xf>
    <xf numFmtId="0" fontId="3" fillId="6" borderId="37" xfId="0" applyFont="1" applyFill="1" applyBorder="1" applyAlignment="1">
      <alignment horizontal="center" vertical="top" wrapText="1"/>
    </xf>
    <xf numFmtId="0" fontId="3" fillId="6" borderId="0" xfId="0" applyFont="1" applyFill="1" applyBorder="1" applyAlignment="1">
      <alignment horizontal="center" vertical="top" wrapText="1"/>
    </xf>
    <xf numFmtId="0" fontId="3" fillId="6" borderId="7" xfId="0" applyFont="1" applyFill="1" applyBorder="1" applyAlignment="1">
      <alignment horizontal="left" vertical="top" wrapText="1"/>
    </xf>
    <xf numFmtId="0" fontId="7" fillId="6" borderId="14" xfId="0" applyFont="1" applyFill="1" applyBorder="1" applyAlignment="1">
      <alignment horizontal="left" vertical="top" wrapText="1"/>
    </xf>
    <xf numFmtId="0" fontId="3" fillId="6" borderId="44" xfId="0" applyFont="1" applyFill="1" applyBorder="1" applyAlignment="1">
      <alignment horizontal="center" vertical="center" textRotation="90" wrapText="1"/>
    </xf>
    <xf numFmtId="0" fontId="3" fillId="6" borderId="46" xfId="0" applyFont="1" applyFill="1" applyBorder="1" applyAlignment="1">
      <alignment horizontal="center" vertical="center" textRotation="90" wrapText="1"/>
    </xf>
    <xf numFmtId="0" fontId="3" fillId="6" borderId="36" xfId="0" applyFont="1" applyFill="1" applyBorder="1" applyAlignment="1">
      <alignment horizontal="left" vertical="top" wrapText="1"/>
    </xf>
    <xf numFmtId="0" fontId="3" fillId="6" borderId="47" xfId="0" applyFont="1" applyFill="1" applyBorder="1" applyAlignment="1">
      <alignment horizontal="center" vertical="center" textRotation="90" wrapText="1"/>
    </xf>
    <xf numFmtId="0" fontId="3" fillId="6" borderId="17" xfId="0" applyFont="1" applyFill="1" applyBorder="1" applyAlignment="1">
      <alignment horizontal="center" vertical="center" textRotation="90" wrapText="1"/>
    </xf>
    <xf numFmtId="0" fontId="3" fillId="6" borderId="53" xfId="1" applyFont="1" applyFill="1" applyBorder="1" applyAlignment="1">
      <alignment vertical="top" wrapText="1"/>
    </xf>
    <xf numFmtId="0" fontId="7" fillId="6" borderId="61" xfId="0" applyFont="1" applyFill="1" applyBorder="1" applyAlignment="1">
      <alignment vertical="top" wrapText="1"/>
    </xf>
    <xf numFmtId="0" fontId="3" fillId="6" borderId="25" xfId="0" applyFont="1" applyFill="1" applyBorder="1" applyAlignment="1">
      <alignment horizontal="center" vertical="center" textRotation="90" wrapText="1"/>
    </xf>
    <xf numFmtId="0" fontId="3" fillId="6" borderId="16" xfId="0" applyFont="1" applyFill="1" applyBorder="1" applyAlignment="1">
      <alignment horizontal="center" vertical="center" textRotation="90" wrapText="1"/>
    </xf>
    <xf numFmtId="49" fontId="5" fillId="6" borderId="33" xfId="0" applyNumberFormat="1" applyFont="1" applyFill="1" applyBorder="1" applyAlignment="1">
      <alignment horizontal="left" vertical="top"/>
    </xf>
    <xf numFmtId="49" fontId="5" fillId="6" borderId="39" xfId="0" applyNumberFormat="1" applyFont="1" applyFill="1" applyBorder="1" applyAlignment="1">
      <alignment horizontal="left" vertical="top"/>
    </xf>
    <xf numFmtId="0" fontId="3" fillId="6" borderId="41" xfId="0" applyFont="1" applyFill="1" applyBorder="1" applyAlignment="1">
      <alignment horizontal="left" vertical="top" wrapText="1"/>
    </xf>
    <xf numFmtId="0" fontId="7" fillId="6" borderId="27" xfId="0" applyFont="1" applyFill="1" applyBorder="1" applyAlignment="1">
      <alignment horizontal="left" vertical="top" wrapText="1"/>
    </xf>
    <xf numFmtId="0" fontId="3" fillId="6" borderId="44" xfId="0" applyFont="1" applyFill="1" applyBorder="1" applyAlignment="1">
      <alignment horizontal="center" vertical="center" wrapText="1"/>
    </xf>
    <xf numFmtId="0" fontId="3" fillId="6" borderId="28" xfId="0" applyFont="1" applyFill="1" applyBorder="1" applyAlignment="1">
      <alignment horizontal="center" vertical="center" wrapText="1"/>
    </xf>
    <xf numFmtId="0" fontId="7" fillId="0" borderId="27" xfId="0" applyFont="1" applyBorder="1" applyAlignment="1">
      <alignment horizontal="left" vertical="top" wrapText="1"/>
    </xf>
    <xf numFmtId="0" fontId="3" fillId="6" borderId="46" xfId="0" applyFont="1" applyFill="1" applyBorder="1" applyAlignment="1">
      <alignment horizontal="center" vertical="center" wrapText="1"/>
    </xf>
    <xf numFmtId="0" fontId="0" fillId="6" borderId="61" xfId="0" applyFill="1" applyBorder="1" applyAlignment="1">
      <alignment vertical="top" wrapText="1"/>
    </xf>
    <xf numFmtId="0" fontId="3" fillId="6" borderId="9" xfId="1" applyFont="1" applyFill="1" applyBorder="1" applyAlignment="1">
      <alignment vertical="top" wrapText="1"/>
    </xf>
    <xf numFmtId="0" fontId="0" fillId="6" borderId="9" xfId="0" applyFill="1" applyBorder="1" applyAlignment="1">
      <alignment vertical="top" wrapText="1"/>
    </xf>
    <xf numFmtId="0" fontId="3" fillId="6" borderId="33" xfId="0" applyFont="1" applyFill="1" applyBorder="1" applyAlignment="1">
      <alignment horizontal="left" vertical="top" wrapText="1"/>
    </xf>
    <xf numFmtId="0" fontId="7" fillId="6" borderId="33" xfId="0" applyFont="1" applyFill="1" applyBorder="1" applyAlignment="1">
      <alignment horizontal="left" vertical="top" wrapText="1"/>
    </xf>
    <xf numFmtId="0" fontId="7" fillId="6" borderId="27" xfId="0" applyFont="1" applyFill="1" applyBorder="1" applyAlignment="1">
      <alignment vertical="top" wrapText="1"/>
    </xf>
    <xf numFmtId="0" fontId="3" fillId="6" borderId="9" xfId="0" applyFont="1" applyFill="1" applyBorder="1" applyAlignment="1">
      <alignment vertical="top" wrapText="1"/>
    </xf>
    <xf numFmtId="0" fontId="3" fillId="6" borderId="41" xfId="1" applyFont="1" applyFill="1" applyBorder="1" applyAlignment="1">
      <alignment vertical="top" wrapText="1"/>
    </xf>
    <xf numFmtId="0" fontId="0" fillId="6" borderId="27" xfId="0" applyFill="1" applyBorder="1" applyAlignment="1">
      <alignment vertical="top" wrapText="1"/>
    </xf>
    <xf numFmtId="49" fontId="5" fillId="6" borderId="33" xfId="0" applyNumberFormat="1" applyFont="1" applyFill="1" applyBorder="1" applyAlignment="1">
      <alignment horizontal="left" vertical="center"/>
    </xf>
    <xf numFmtId="49" fontId="5" fillId="6" borderId="39" xfId="0" applyNumberFormat="1" applyFont="1" applyFill="1" applyBorder="1" applyAlignment="1">
      <alignment horizontal="left" vertical="center"/>
    </xf>
    <xf numFmtId="0" fontId="5" fillId="10" borderId="33" xfId="0" applyFont="1" applyFill="1" applyBorder="1" applyAlignment="1">
      <alignment horizontal="left" vertical="top"/>
    </xf>
    <xf numFmtId="0" fontId="5" fillId="10" borderId="39" xfId="0" applyFont="1" applyFill="1" applyBorder="1" applyAlignment="1">
      <alignment horizontal="left" vertical="top"/>
    </xf>
    <xf numFmtId="0" fontId="5" fillId="10" borderId="40" xfId="0" applyFont="1" applyFill="1" applyBorder="1" applyAlignment="1">
      <alignment horizontal="left" vertical="top"/>
    </xf>
    <xf numFmtId="0" fontId="5" fillId="3" borderId="33" xfId="0" applyFont="1" applyFill="1" applyBorder="1" applyAlignment="1">
      <alignment horizontal="left" vertical="top" wrapText="1"/>
    </xf>
    <xf numFmtId="0" fontId="5" fillId="3" borderId="39" xfId="0" applyFont="1" applyFill="1" applyBorder="1" applyAlignment="1">
      <alignment horizontal="left" vertical="top" wrapText="1"/>
    </xf>
    <xf numFmtId="0" fontId="5" fillId="3" borderId="40" xfId="0" applyFont="1" applyFill="1" applyBorder="1" applyAlignment="1">
      <alignment horizontal="left" vertical="top" wrapText="1"/>
    </xf>
    <xf numFmtId="0" fontId="5" fillId="6" borderId="46" xfId="0" applyFont="1" applyFill="1" applyBorder="1" applyAlignment="1">
      <alignment horizontal="left" vertical="top" wrapText="1"/>
    </xf>
    <xf numFmtId="0" fontId="5" fillId="6" borderId="9" xfId="0" applyFont="1" applyFill="1" applyBorder="1" applyAlignment="1">
      <alignment vertical="top" wrapText="1"/>
    </xf>
    <xf numFmtId="0" fontId="3" fillId="0" borderId="42" xfId="0" applyFont="1" applyBorder="1" applyAlignment="1">
      <alignment horizontal="center" vertical="center" textRotation="90" wrapText="1"/>
    </xf>
    <xf numFmtId="0" fontId="3" fillId="0" borderId="8" xfId="0" applyFont="1" applyBorder="1" applyAlignment="1">
      <alignment horizontal="center" vertical="center" textRotation="90" wrapText="1"/>
    </xf>
    <xf numFmtId="0" fontId="3" fillId="0" borderId="58" xfId="0" applyFont="1" applyBorder="1" applyAlignment="1">
      <alignment horizontal="center" vertical="center" textRotation="90" wrapText="1"/>
    </xf>
    <xf numFmtId="0" fontId="5" fillId="0" borderId="68" xfId="0" applyFont="1" applyBorder="1" applyAlignment="1">
      <alignment horizontal="center" vertical="center"/>
    </xf>
    <xf numFmtId="0" fontId="5" fillId="0" borderId="62" xfId="0" applyFont="1" applyBorder="1" applyAlignment="1">
      <alignment horizontal="center" vertical="center"/>
    </xf>
    <xf numFmtId="0" fontId="5" fillId="0" borderId="57" xfId="0" applyFont="1" applyBorder="1" applyAlignment="1">
      <alignment horizontal="center" vertical="center"/>
    </xf>
    <xf numFmtId="0" fontId="3" fillId="0" borderId="4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9" xfId="0" applyFont="1" applyBorder="1" applyAlignment="1">
      <alignment horizontal="center" vertical="center"/>
    </xf>
    <xf numFmtId="0" fontId="3" fillId="0" borderId="40" xfId="0" applyFont="1" applyBorder="1" applyAlignment="1">
      <alignment horizontal="center" vertical="center"/>
    </xf>
    <xf numFmtId="49" fontId="5" fillId="7" borderId="68" xfId="0" applyNumberFormat="1" applyFont="1" applyFill="1" applyBorder="1" applyAlignment="1">
      <alignment horizontal="left" vertical="top" wrapText="1"/>
    </xf>
    <xf numFmtId="49" fontId="5" fillId="7" borderId="62" xfId="0" applyNumberFormat="1" applyFont="1" applyFill="1" applyBorder="1" applyAlignment="1">
      <alignment horizontal="left" vertical="top" wrapText="1"/>
    </xf>
    <xf numFmtId="49" fontId="5" fillId="7" borderId="57" xfId="0" applyNumberFormat="1" applyFont="1" applyFill="1" applyBorder="1" applyAlignment="1">
      <alignment horizontal="left" vertical="top" wrapText="1"/>
    </xf>
    <xf numFmtId="0" fontId="5" fillId="4" borderId="66" xfId="0" applyFont="1" applyFill="1" applyBorder="1" applyAlignment="1">
      <alignment horizontal="left" vertical="top" wrapText="1"/>
    </xf>
    <xf numFmtId="0" fontId="5" fillId="4" borderId="39" xfId="0" applyFont="1" applyFill="1" applyBorder="1" applyAlignment="1">
      <alignment horizontal="left" vertical="top" wrapText="1"/>
    </xf>
    <xf numFmtId="0" fontId="5" fillId="4" borderId="40" xfId="0" applyFont="1" applyFill="1" applyBorder="1" applyAlignment="1">
      <alignment horizontal="left" vertical="top" wrapText="1"/>
    </xf>
    <xf numFmtId="3" fontId="3" fillId="0" borderId="43" xfId="0" applyNumberFormat="1" applyFont="1" applyBorder="1" applyAlignment="1">
      <alignment horizontal="center" vertical="center" textRotation="90" shrinkToFit="1"/>
    </xf>
    <xf numFmtId="3" fontId="3" fillId="0" borderId="46" xfId="0" applyNumberFormat="1" applyFont="1" applyBorder="1" applyAlignment="1">
      <alignment horizontal="center" vertical="center" textRotation="90" shrinkToFit="1"/>
    </xf>
    <xf numFmtId="3" fontId="3" fillId="0" borderId="55" xfId="0" applyNumberFormat="1" applyFont="1" applyBorder="1" applyAlignment="1">
      <alignment horizontal="center" vertical="center" textRotation="90" shrinkToFit="1"/>
    </xf>
    <xf numFmtId="3" fontId="3" fillId="0" borderId="42" xfId="0" applyNumberFormat="1" applyFont="1" applyBorder="1" applyAlignment="1">
      <alignment horizontal="center" vertical="center" textRotation="90" wrapText="1" shrinkToFit="1"/>
    </xf>
    <xf numFmtId="3" fontId="3" fillId="0" borderId="8" xfId="0" applyNumberFormat="1" applyFont="1" applyBorder="1" applyAlignment="1">
      <alignment horizontal="center" vertical="center" textRotation="90" wrapText="1" shrinkToFit="1"/>
    </xf>
    <xf numFmtId="3" fontId="3" fillId="0" borderId="58" xfId="0" applyNumberFormat="1" applyFont="1" applyBorder="1" applyAlignment="1">
      <alignment horizontal="center" vertical="center" textRotation="90" wrapText="1" shrinkToFit="1"/>
    </xf>
    <xf numFmtId="3" fontId="3" fillId="0" borderId="7" xfId="0" applyNumberFormat="1" applyFont="1" applyBorder="1" applyAlignment="1">
      <alignment horizontal="center" vertical="center" textRotation="90" shrinkToFit="1"/>
    </xf>
    <xf numFmtId="3" fontId="3" fillId="0" borderId="9" xfId="0" applyNumberFormat="1" applyFont="1" applyBorder="1" applyAlignment="1">
      <alignment horizontal="center" vertical="center" textRotation="90" shrinkToFit="1"/>
    </xf>
    <xf numFmtId="3" fontId="3" fillId="0" borderId="10" xfId="0" applyNumberFormat="1" applyFont="1" applyBorder="1" applyAlignment="1">
      <alignment horizontal="center" vertical="center" textRotation="90" shrinkToFit="1"/>
    </xf>
    <xf numFmtId="3" fontId="3" fillId="0" borderId="24" xfId="0" applyNumberFormat="1" applyFont="1" applyBorder="1" applyAlignment="1">
      <alignment horizontal="center" vertical="center" textRotation="90" shrinkToFit="1"/>
    </xf>
    <xf numFmtId="3" fontId="3" fillId="0" borderId="14" xfId="0" applyNumberFormat="1" applyFont="1" applyBorder="1" applyAlignment="1">
      <alignment horizontal="center" vertical="center" textRotation="90" shrinkToFit="1"/>
    </xf>
    <xf numFmtId="3" fontId="3" fillId="0" borderId="22" xfId="0" applyNumberFormat="1" applyFont="1" applyBorder="1" applyAlignment="1">
      <alignment horizontal="center" vertical="center" textRotation="90" shrinkToFit="1"/>
    </xf>
    <xf numFmtId="3" fontId="3" fillId="0" borderId="43" xfId="0" applyNumberFormat="1" applyFont="1" applyBorder="1" applyAlignment="1">
      <alignment horizontal="center" vertical="center" shrinkToFit="1"/>
    </xf>
    <xf numFmtId="3" fontId="3" fillId="0" borderId="46" xfId="0" applyNumberFormat="1" applyFont="1" applyBorder="1" applyAlignment="1">
      <alignment horizontal="center" vertical="center" shrinkToFit="1"/>
    </xf>
    <xf numFmtId="3" fontId="3" fillId="0" borderId="55" xfId="0" applyNumberFormat="1" applyFont="1" applyBorder="1" applyAlignment="1">
      <alignment horizontal="center" vertical="center" shrinkToFit="1"/>
    </xf>
    <xf numFmtId="49" fontId="5" fillId="8" borderId="14" xfId="0" applyNumberFormat="1" applyFont="1" applyFill="1" applyBorder="1" applyAlignment="1">
      <alignment horizontal="center" vertical="top"/>
    </xf>
    <xf numFmtId="49" fontId="5" fillId="0" borderId="14" xfId="0" applyNumberFormat="1" applyFont="1" applyFill="1" applyBorder="1" applyAlignment="1">
      <alignment horizontal="center" vertical="top"/>
    </xf>
    <xf numFmtId="49" fontId="5" fillId="0" borderId="30" xfId="0" applyNumberFormat="1" applyFont="1" applyFill="1" applyBorder="1" applyAlignment="1">
      <alignment horizontal="center" vertical="top"/>
    </xf>
    <xf numFmtId="0" fontId="7" fillId="0" borderId="87" xfId="0" applyFont="1" applyBorder="1" applyAlignment="1">
      <alignment vertical="top" wrapText="1"/>
    </xf>
    <xf numFmtId="0" fontId="21" fillId="6" borderId="18" xfId="0" applyFont="1" applyFill="1" applyBorder="1" applyAlignment="1">
      <alignment horizontal="left" vertical="top" wrapText="1"/>
    </xf>
    <xf numFmtId="0" fontId="21" fillId="6" borderId="30" xfId="0" applyFont="1" applyFill="1" applyBorder="1" applyAlignment="1">
      <alignment horizontal="left" vertical="top" wrapText="1"/>
    </xf>
    <xf numFmtId="0" fontId="21" fillId="6" borderId="14" xfId="0" applyFont="1" applyFill="1" applyBorder="1" applyAlignment="1">
      <alignment horizontal="left" vertical="top" wrapText="1"/>
    </xf>
    <xf numFmtId="0" fontId="2" fillId="6" borderId="1" xfId="0" applyFont="1" applyFill="1" applyBorder="1" applyAlignment="1">
      <alignment horizontal="center" vertical="center" textRotation="90"/>
    </xf>
    <xf numFmtId="0" fontId="2" fillId="6" borderId="29" xfId="0" applyFont="1" applyFill="1" applyBorder="1" applyAlignment="1">
      <alignment horizontal="center" vertical="center" textRotation="90"/>
    </xf>
    <xf numFmtId="0" fontId="3" fillId="0" borderId="44" xfId="0" applyFont="1" applyFill="1" applyBorder="1" applyAlignment="1">
      <alignment horizontal="center" vertical="center" textRotation="90" wrapText="1"/>
    </xf>
    <xf numFmtId="0" fontId="3" fillId="0" borderId="28" xfId="0" applyFont="1" applyFill="1" applyBorder="1" applyAlignment="1">
      <alignment horizontal="center" vertical="center" textRotation="90" wrapText="1"/>
    </xf>
    <xf numFmtId="0" fontId="21" fillId="6" borderId="9" xfId="0" applyFont="1" applyFill="1" applyBorder="1" applyAlignment="1">
      <alignment horizontal="left" vertical="top" wrapText="1"/>
    </xf>
    <xf numFmtId="0" fontId="21" fillId="6" borderId="27" xfId="0" applyFont="1" applyFill="1" applyBorder="1" applyAlignment="1">
      <alignment horizontal="left" vertical="top" wrapText="1"/>
    </xf>
    <xf numFmtId="0" fontId="7" fillId="0" borderId="14" xfId="0" applyFont="1" applyBorder="1" applyAlignment="1">
      <alignment horizontal="left" vertical="top" wrapText="1"/>
    </xf>
    <xf numFmtId="0" fontId="3" fillId="6" borderId="18" xfId="0" applyFont="1" applyFill="1" applyBorder="1" applyAlignment="1">
      <alignment horizontal="center" vertical="center" textRotation="90"/>
    </xf>
    <xf numFmtId="0" fontId="3" fillId="6" borderId="14" xfId="0" applyFont="1" applyFill="1" applyBorder="1" applyAlignment="1">
      <alignment horizontal="center" vertical="center" textRotation="90"/>
    </xf>
    <xf numFmtId="49" fontId="3" fillId="8" borderId="33" xfId="0" applyNumberFormat="1" applyFont="1" applyFill="1" applyBorder="1" applyAlignment="1">
      <alignment horizontal="left" vertical="center"/>
    </xf>
    <xf numFmtId="49" fontId="3" fillId="8" borderId="39" xfId="0" applyNumberFormat="1" applyFont="1" applyFill="1" applyBorder="1" applyAlignment="1">
      <alignment horizontal="left" vertical="center"/>
    </xf>
    <xf numFmtId="49" fontId="5" fillId="0" borderId="18" xfId="0" applyNumberFormat="1" applyFont="1" applyFill="1" applyBorder="1" applyAlignment="1">
      <alignment horizontal="center" vertical="top"/>
    </xf>
    <xf numFmtId="49" fontId="3" fillId="6" borderId="8" xfId="0" applyNumberFormat="1" applyFont="1" applyFill="1" applyBorder="1" applyAlignment="1">
      <alignment horizontal="center" vertical="top" wrapText="1"/>
    </xf>
    <xf numFmtId="0" fontId="7" fillId="6" borderId="8" xfId="0" applyFont="1" applyFill="1" applyBorder="1" applyAlignment="1">
      <alignment horizontal="center" vertical="top" wrapText="1"/>
    </xf>
    <xf numFmtId="0" fontId="3" fillId="14" borderId="90" xfId="0" applyFont="1" applyFill="1" applyBorder="1" applyAlignment="1">
      <alignment horizontal="left" vertical="top" wrapText="1"/>
    </xf>
    <xf numFmtId="0" fontId="3" fillId="14" borderId="89" xfId="0" applyFont="1" applyFill="1" applyBorder="1" applyAlignment="1">
      <alignment horizontal="left" vertical="top" wrapText="1"/>
    </xf>
    <xf numFmtId="49" fontId="5" fillId="6" borderId="18" xfId="0" applyNumberFormat="1" applyFont="1" applyFill="1" applyBorder="1" applyAlignment="1">
      <alignment horizontal="center" vertical="top"/>
    </xf>
    <xf numFmtId="49" fontId="5" fillId="6" borderId="30" xfId="0" applyNumberFormat="1" applyFont="1" applyFill="1" applyBorder="1" applyAlignment="1">
      <alignment horizontal="center" vertical="top"/>
    </xf>
    <xf numFmtId="0" fontId="3" fillId="6" borderId="35" xfId="0" applyFont="1" applyFill="1" applyBorder="1" applyAlignment="1">
      <alignment horizontal="center" vertical="center" textRotation="90" wrapText="1"/>
    </xf>
    <xf numFmtId="0" fontId="2" fillId="6" borderId="38" xfId="0" applyFont="1" applyFill="1" applyBorder="1" applyAlignment="1">
      <alignment horizontal="center" vertical="center" textRotation="90" wrapText="1"/>
    </xf>
    <xf numFmtId="0" fontId="2" fillId="6" borderId="0" xfId="0" applyFont="1" applyFill="1" applyBorder="1" applyAlignment="1">
      <alignment horizontal="center" vertical="center" textRotation="90" wrapText="1"/>
    </xf>
    <xf numFmtId="0" fontId="2" fillId="6" borderId="45" xfId="0" applyFont="1" applyFill="1" applyBorder="1" applyAlignment="1">
      <alignment horizontal="center" vertical="center" textRotation="90" wrapText="1"/>
    </xf>
    <xf numFmtId="49" fontId="5" fillId="0" borderId="38" xfId="0" applyNumberFormat="1" applyFont="1" applyBorder="1" applyAlignment="1">
      <alignment horizontal="center" vertical="top"/>
    </xf>
    <xf numFmtId="49" fontId="5" fillId="0" borderId="45" xfId="0" applyNumberFormat="1" applyFont="1" applyBorder="1" applyAlignment="1">
      <alignment horizontal="center" vertical="top"/>
    </xf>
    <xf numFmtId="0" fontId="3" fillId="0" borderId="38" xfId="0" applyFont="1" applyFill="1" applyBorder="1" applyAlignment="1">
      <alignment horizontal="center" vertical="center" textRotation="90" wrapText="1"/>
    </xf>
    <xf numFmtId="0" fontId="3" fillId="0" borderId="45" xfId="0" applyFont="1" applyFill="1" applyBorder="1" applyAlignment="1">
      <alignment horizontal="center" vertical="center" textRotation="90" wrapText="1"/>
    </xf>
    <xf numFmtId="0" fontId="29" fillId="6" borderId="14" xfId="0" applyFont="1" applyFill="1" applyBorder="1" applyAlignment="1">
      <alignment horizontal="center" vertical="top" wrapText="1"/>
    </xf>
    <xf numFmtId="0" fontId="29" fillId="6" borderId="30" xfId="0" applyFont="1" applyFill="1" applyBorder="1" applyAlignment="1">
      <alignment horizontal="center" vertical="top" wrapText="1"/>
    </xf>
    <xf numFmtId="49" fontId="21" fillId="6" borderId="8" xfId="0" applyNumberFormat="1" applyFont="1" applyFill="1" applyBorder="1" applyAlignment="1">
      <alignment horizontal="center" vertical="center" wrapText="1"/>
    </xf>
    <xf numFmtId="49" fontId="21" fillId="6" borderId="20" xfId="0" applyNumberFormat="1" applyFont="1" applyFill="1" applyBorder="1" applyAlignment="1">
      <alignment horizontal="center" vertical="center" wrapText="1"/>
    </xf>
    <xf numFmtId="49" fontId="3" fillId="6" borderId="5" xfId="0" applyNumberFormat="1" applyFont="1" applyFill="1" applyBorder="1" applyAlignment="1">
      <alignment horizontal="center" vertical="top" wrapText="1"/>
    </xf>
    <xf numFmtId="0" fontId="7" fillId="0" borderId="20" xfId="0" applyFont="1" applyBorder="1" applyAlignment="1">
      <alignment horizontal="center" vertical="top" wrapText="1"/>
    </xf>
    <xf numFmtId="49" fontId="5" fillId="0" borderId="0" xfId="0" applyNumberFormat="1" applyFont="1" applyBorder="1" applyAlignment="1">
      <alignment horizontal="center" vertical="top"/>
    </xf>
    <xf numFmtId="0" fontId="3" fillId="0" borderId="46" xfId="0" applyFont="1" applyFill="1" applyBorder="1" applyAlignment="1">
      <alignment horizontal="center" vertical="center" textRotation="90" wrapText="1"/>
    </xf>
    <xf numFmtId="49" fontId="3" fillId="0" borderId="8" xfId="0" applyNumberFormat="1" applyFont="1" applyBorder="1" applyAlignment="1">
      <alignment horizontal="center" vertical="top" wrapText="1"/>
    </xf>
    <xf numFmtId="49" fontId="3" fillId="0" borderId="20" xfId="0" applyNumberFormat="1" applyFont="1" applyBorder="1" applyAlignment="1">
      <alignment horizontal="center" vertical="top" wrapText="1"/>
    </xf>
    <xf numFmtId="49" fontId="3" fillId="6" borderId="42" xfId="0" applyNumberFormat="1" applyFont="1" applyFill="1" applyBorder="1" applyAlignment="1">
      <alignment horizontal="center" vertical="center" wrapText="1"/>
    </xf>
    <xf numFmtId="0" fontId="7" fillId="0" borderId="8" xfId="0" applyFont="1" applyBorder="1" applyAlignment="1">
      <alignment horizontal="center" vertical="center"/>
    </xf>
    <xf numFmtId="49" fontId="3" fillId="6" borderId="8" xfId="0" applyNumberFormat="1" applyFont="1" applyFill="1" applyBorder="1" applyAlignment="1">
      <alignment horizontal="center" vertical="center" wrapText="1"/>
    </xf>
    <xf numFmtId="49" fontId="3" fillId="6" borderId="5" xfId="0" applyNumberFormat="1" applyFont="1" applyFill="1" applyBorder="1" applyAlignment="1">
      <alignment horizontal="center" vertical="center" wrapText="1"/>
    </xf>
    <xf numFmtId="0" fontId="2" fillId="6" borderId="16" xfId="0" applyFont="1" applyFill="1" applyBorder="1" applyAlignment="1">
      <alignment horizontal="center" vertical="center" textRotation="90" wrapText="1"/>
    </xf>
    <xf numFmtId="0" fontId="0" fillId="0" borderId="8" xfId="0" applyBorder="1" applyAlignment="1">
      <alignment horizontal="center" vertical="center" wrapText="1"/>
    </xf>
    <xf numFmtId="49" fontId="3" fillId="0" borderId="5" xfId="0" applyNumberFormat="1" applyFont="1" applyBorder="1" applyAlignment="1">
      <alignment horizontal="center" vertical="top" wrapText="1"/>
    </xf>
    <xf numFmtId="0" fontId="3" fillId="6" borderId="8" xfId="0" applyFont="1" applyFill="1" applyBorder="1" applyAlignment="1">
      <alignment horizontal="center" vertical="top" wrapText="1"/>
    </xf>
    <xf numFmtId="49" fontId="3" fillId="8" borderId="33" xfId="0" applyNumberFormat="1" applyFont="1" applyFill="1" applyBorder="1" applyAlignment="1">
      <alignment horizontal="center" vertical="top"/>
    </xf>
    <xf numFmtId="49" fontId="3" fillId="8" borderId="39" xfId="0" applyNumberFormat="1" applyFont="1" applyFill="1" applyBorder="1" applyAlignment="1">
      <alignment horizontal="center" vertical="top"/>
    </xf>
    <xf numFmtId="0" fontId="7" fillId="0" borderId="8" xfId="0" applyFont="1" applyBorder="1" applyAlignment="1">
      <alignment horizontal="center" vertical="top" wrapText="1"/>
    </xf>
    <xf numFmtId="49" fontId="5" fillId="0" borderId="18" xfId="0" applyNumberFormat="1" applyFont="1" applyBorder="1" applyAlignment="1">
      <alignment horizontal="center" vertical="top" wrapText="1"/>
    </xf>
    <xf numFmtId="49" fontId="5" fillId="0" borderId="14" xfId="0" applyNumberFormat="1" applyFont="1" applyBorder="1" applyAlignment="1">
      <alignment horizontal="center" vertical="top" wrapText="1"/>
    </xf>
    <xf numFmtId="0" fontId="3" fillId="2" borderId="18" xfId="0" applyFont="1" applyFill="1" applyBorder="1" applyAlignment="1">
      <alignment vertical="top" wrapText="1"/>
    </xf>
    <xf numFmtId="0" fontId="3" fillId="2" borderId="14" xfId="0" applyFont="1" applyFill="1" applyBorder="1" applyAlignment="1">
      <alignment vertical="top" wrapText="1"/>
    </xf>
    <xf numFmtId="49" fontId="3" fillId="6" borderId="20" xfId="0" applyNumberFormat="1" applyFont="1" applyFill="1" applyBorder="1" applyAlignment="1">
      <alignment horizontal="center" vertical="top" wrapText="1"/>
    </xf>
    <xf numFmtId="49" fontId="5" fillId="8" borderId="14" xfId="0" applyNumberFormat="1" applyFont="1" applyFill="1" applyBorder="1" applyAlignment="1">
      <alignment horizontal="center" vertical="top" wrapText="1"/>
    </xf>
    <xf numFmtId="49" fontId="15" fillId="8" borderId="45" xfId="0" applyNumberFormat="1" applyFont="1" applyFill="1" applyBorder="1" applyAlignment="1">
      <alignment horizontal="center" vertical="top"/>
    </xf>
    <xf numFmtId="49" fontId="15" fillId="8" borderId="0" xfId="0" applyNumberFormat="1" applyFont="1" applyFill="1" applyBorder="1" applyAlignment="1">
      <alignment horizontal="center" vertical="top"/>
    </xf>
    <xf numFmtId="49" fontId="5" fillId="0" borderId="30" xfId="0" applyNumberFormat="1" applyFont="1" applyBorder="1" applyAlignment="1">
      <alignment horizontal="center" vertical="top" wrapText="1"/>
    </xf>
    <xf numFmtId="0" fontId="21" fillId="2" borderId="14" xfId="0" applyFont="1" applyFill="1" applyBorder="1" applyAlignment="1">
      <alignment vertical="top" wrapText="1"/>
    </xf>
    <xf numFmtId="0" fontId="21" fillId="2" borderId="30" xfId="0" applyFont="1" applyFill="1" applyBorder="1" applyAlignment="1">
      <alignment vertical="top" wrapText="1"/>
    </xf>
    <xf numFmtId="49" fontId="5" fillId="3" borderId="55" xfId="0" applyNumberFormat="1" applyFont="1" applyFill="1" applyBorder="1" applyAlignment="1">
      <alignment horizontal="right" vertical="top"/>
    </xf>
    <xf numFmtId="49" fontId="5" fillId="3" borderId="26" xfId="0" applyNumberFormat="1" applyFont="1" applyFill="1" applyBorder="1" applyAlignment="1">
      <alignment horizontal="right" vertical="top"/>
    </xf>
    <xf numFmtId="0" fontId="23" fillId="0" borderId="0" xfId="0" applyFont="1" applyAlignment="1">
      <alignment horizontal="right" wrapText="1"/>
    </xf>
    <xf numFmtId="0" fontId="43" fillId="0" borderId="0" xfId="0" applyFont="1" applyAlignment="1">
      <alignment horizontal="right"/>
    </xf>
    <xf numFmtId="3" fontId="3" fillId="0" borderId="42" xfId="0" applyNumberFormat="1" applyFont="1" applyFill="1" applyBorder="1" applyAlignment="1">
      <alignment horizontal="center" vertical="center" textRotation="90" wrapText="1" shrinkToFit="1"/>
    </xf>
    <xf numFmtId="3" fontId="3" fillId="0" borderId="8" xfId="0" applyNumberFormat="1" applyFont="1" applyFill="1" applyBorder="1" applyAlignment="1">
      <alignment horizontal="center" vertical="center" textRotation="90" wrapText="1" shrinkToFit="1"/>
    </xf>
    <xf numFmtId="3" fontId="3" fillId="0" borderId="58" xfId="0" applyNumberFormat="1" applyFont="1" applyFill="1" applyBorder="1" applyAlignment="1">
      <alignment horizontal="center" vertical="center" textRotation="90" wrapText="1" shrinkToFit="1"/>
    </xf>
    <xf numFmtId="0" fontId="7" fillId="0" borderId="26" xfId="0" applyFont="1" applyBorder="1" applyAlignment="1">
      <alignment vertical="top"/>
    </xf>
    <xf numFmtId="3" fontId="3" fillId="0" borderId="43" xfId="0" applyNumberFormat="1" applyFont="1" applyFill="1" applyBorder="1" applyAlignment="1">
      <alignment horizontal="center" vertical="top" wrapText="1"/>
    </xf>
    <xf numFmtId="3" fontId="3" fillId="0" borderId="46" xfId="0" applyNumberFormat="1" applyFont="1" applyFill="1" applyBorder="1" applyAlignment="1">
      <alignment horizontal="center" vertical="top" wrapText="1"/>
    </xf>
    <xf numFmtId="3" fontId="3" fillId="0" borderId="37" xfId="0" applyNumberFormat="1" applyFont="1" applyFill="1" applyBorder="1" applyAlignment="1">
      <alignment horizontal="center" vertical="top" wrapText="1"/>
    </xf>
    <xf numFmtId="3" fontId="3" fillId="0" borderId="0" xfId="0" applyNumberFormat="1" applyFont="1" applyFill="1" applyBorder="1" applyAlignment="1">
      <alignment horizontal="center" vertical="top" wrapText="1"/>
    </xf>
    <xf numFmtId="0" fontId="3" fillId="2" borderId="8" xfId="0" applyFont="1" applyFill="1" applyBorder="1" applyAlignment="1">
      <alignment horizontal="center" vertical="top" wrapText="1"/>
    </xf>
    <xf numFmtId="0" fontId="5" fillId="6" borderId="18" xfId="0" applyFont="1" applyFill="1" applyBorder="1" applyAlignment="1">
      <alignment horizontal="center" vertical="center" textRotation="90" wrapText="1"/>
    </xf>
    <xf numFmtId="0" fontId="5" fillId="6" borderId="14" xfId="0" applyFont="1" applyFill="1" applyBorder="1" applyAlignment="1">
      <alignment horizontal="center" vertical="center" textRotation="90" wrapText="1"/>
    </xf>
    <xf numFmtId="0" fontId="5" fillId="6" borderId="30" xfId="0" applyFont="1" applyFill="1" applyBorder="1" applyAlignment="1">
      <alignment horizontal="center" vertical="center" textRotation="90" wrapText="1"/>
    </xf>
    <xf numFmtId="49" fontId="5" fillId="6" borderId="14" xfId="0" applyNumberFormat="1" applyFont="1" applyFill="1" applyBorder="1" applyAlignment="1">
      <alignment horizontal="center" vertical="center" textRotation="90" wrapText="1"/>
    </xf>
    <xf numFmtId="49" fontId="5" fillId="6" borderId="30" xfId="0" applyNumberFormat="1" applyFont="1" applyFill="1" applyBorder="1" applyAlignment="1">
      <alignment horizontal="center" vertical="center" textRotation="90" wrapText="1"/>
    </xf>
    <xf numFmtId="0" fontId="17" fillId="6" borderId="37" xfId="0" applyFont="1" applyFill="1" applyBorder="1" applyAlignment="1">
      <alignment horizontal="center" vertical="center" textRotation="90" wrapText="1"/>
    </xf>
    <xf numFmtId="0" fontId="17" fillId="6" borderId="0" xfId="0" applyFont="1" applyFill="1" applyBorder="1" applyAlignment="1">
      <alignment horizontal="center" vertical="center" textRotation="90" wrapText="1"/>
    </xf>
    <xf numFmtId="0" fontId="7" fillId="0" borderId="30" xfId="0" applyFont="1" applyBorder="1" applyAlignment="1">
      <alignment horizontal="left" vertical="top" wrapText="1"/>
    </xf>
    <xf numFmtId="0" fontId="40" fillId="6" borderId="44" xfId="0" applyFont="1" applyFill="1" applyBorder="1" applyAlignment="1">
      <alignment horizontal="left" vertical="top" wrapText="1"/>
    </xf>
    <xf numFmtId="0" fontId="41" fillId="6" borderId="46" xfId="0" applyFont="1" applyFill="1" applyBorder="1" applyAlignment="1">
      <alignment horizontal="left" vertical="top" wrapText="1"/>
    </xf>
    <xf numFmtId="0" fontId="41" fillId="6" borderId="28" xfId="0" applyFont="1" applyFill="1" applyBorder="1" applyAlignment="1"/>
    <xf numFmtId="0" fontId="39" fillId="0" borderId="46" xfId="0" applyFont="1" applyFill="1" applyBorder="1" applyAlignment="1">
      <alignment horizontal="center" vertical="center" textRotation="90" wrapText="1"/>
    </xf>
    <xf numFmtId="0" fontId="39" fillId="0" borderId="28" xfId="0" applyFont="1" applyFill="1" applyBorder="1" applyAlignment="1">
      <alignment horizontal="center" vertical="center" textRotation="90" wrapText="1"/>
    </xf>
    <xf numFmtId="49" fontId="5" fillId="6" borderId="18" xfId="0" applyNumberFormat="1" applyFont="1" applyFill="1" applyBorder="1" applyAlignment="1">
      <alignment horizontal="center" vertical="top" wrapText="1"/>
    </xf>
    <xf numFmtId="49" fontId="5" fillId="6" borderId="18" xfId="0" applyNumberFormat="1" applyFont="1" applyFill="1" applyBorder="1" applyAlignment="1">
      <alignment horizontal="center" vertical="center" textRotation="90" wrapText="1"/>
    </xf>
    <xf numFmtId="0" fontId="7" fillId="0" borderId="14" xfId="0" applyFont="1" applyBorder="1" applyAlignment="1">
      <alignment horizontal="center" vertical="center" textRotation="90" wrapText="1"/>
    </xf>
    <xf numFmtId="0" fontId="3" fillId="14" borderId="90" xfId="0" applyFont="1" applyFill="1" applyBorder="1" applyAlignment="1">
      <alignment vertical="top" wrapText="1"/>
    </xf>
    <xf numFmtId="0" fontId="7" fillId="14" borderId="89" xfId="0" applyFont="1" applyFill="1" applyBorder="1" applyAlignment="1">
      <alignment vertical="top" wrapText="1"/>
    </xf>
    <xf numFmtId="0" fontId="14" fillId="14" borderId="46" xfId="0" applyFont="1" applyFill="1" applyBorder="1" applyAlignment="1">
      <alignment horizontal="left" vertical="top" wrapText="1"/>
    </xf>
    <xf numFmtId="0" fontId="7" fillId="14" borderId="46" xfId="0" applyFont="1" applyFill="1" applyBorder="1" applyAlignment="1">
      <alignment horizontal="left" vertical="top" wrapText="1"/>
    </xf>
    <xf numFmtId="0" fontId="7" fillId="14" borderId="46" xfId="0" applyFont="1" applyFill="1" applyBorder="1" applyAlignment="1"/>
    <xf numFmtId="0" fontId="3" fillId="14" borderId="18" xfId="0" applyFont="1" applyFill="1" applyBorder="1" applyAlignment="1">
      <alignment horizontal="left" vertical="top" wrapText="1"/>
    </xf>
    <xf numFmtId="0" fontId="7" fillId="14" borderId="14" xfId="0" applyFont="1" applyFill="1" applyBorder="1" applyAlignment="1">
      <alignment vertical="top" wrapText="1"/>
    </xf>
    <xf numFmtId="0" fontId="7" fillId="6" borderId="14" xfId="0" applyFont="1" applyFill="1" applyBorder="1" applyAlignment="1">
      <alignment horizontal="center" vertical="center" textRotation="90" wrapText="1"/>
    </xf>
    <xf numFmtId="49" fontId="3" fillId="6" borderId="42" xfId="0" applyNumberFormat="1" applyFont="1" applyFill="1" applyBorder="1" applyAlignment="1">
      <alignment horizontal="center" vertical="top" wrapText="1"/>
    </xf>
    <xf numFmtId="0" fontId="0" fillId="0" borderId="9" xfId="0" applyBorder="1" applyAlignment="1">
      <alignment vertical="top" wrapText="1"/>
    </xf>
    <xf numFmtId="0" fontId="0" fillId="0" borderId="27" xfId="0" applyBorder="1" applyAlignment="1">
      <alignment vertical="top" wrapText="1"/>
    </xf>
    <xf numFmtId="49" fontId="5" fillId="6" borderId="30" xfId="0" applyNumberFormat="1" applyFont="1" applyFill="1" applyBorder="1" applyAlignment="1">
      <alignment horizontal="center" vertical="top" wrapText="1"/>
    </xf>
    <xf numFmtId="0" fontId="3" fillId="14" borderId="14" xfId="0" applyFont="1" applyFill="1" applyBorder="1" applyAlignment="1">
      <alignment horizontal="left" vertical="top" wrapText="1"/>
    </xf>
    <xf numFmtId="0" fontId="3" fillId="14" borderId="30" xfId="0" applyFont="1" applyFill="1" applyBorder="1" applyAlignment="1">
      <alignment horizontal="left" vertical="top" wrapText="1"/>
    </xf>
    <xf numFmtId="0" fontId="2" fillId="15" borderId="44" xfId="0" applyFont="1" applyFill="1" applyBorder="1" applyAlignment="1">
      <alignment horizontal="center" vertical="center" textRotation="90" wrapText="1"/>
    </xf>
    <xf numFmtId="0" fontId="2" fillId="15" borderId="46" xfId="0" applyFont="1" applyFill="1" applyBorder="1" applyAlignment="1">
      <alignment horizontal="center" vertical="center" textRotation="90" wrapText="1"/>
    </xf>
    <xf numFmtId="0" fontId="2" fillId="15" borderId="28" xfId="0" applyFont="1" applyFill="1" applyBorder="1" applyAlignment="1">
      <alignment horizontal="center" vertical="center" textRotation="90" wrapText="1"/>
    </xf>
    <xf numFmtId="49" fontId="5" fillId="8" borderId="24" xfId="0" applyNumberFormat="1" applyFont="1" applyFill="1" applyBorder="1" applyAlignment="1">
      <alignment horizontal="center" vertical="top"/>
    </xf>
    <xf numFmtId="49" fontId="5" fillId="0" borderId="24" xfId="0" applyNumberFormat="1" applyFont="1" applyBorder="1" applyAlignment="1">
      <alignment horizontal="center" vertical="top"/>
    </xf>
    <xf numFmtId="49" fontId="5" fillId="0" borderId="14" xfId="0" applyNumberFormat="1" applyFont="1" applyBorder="1" applyAlignment="1">
      <alignment horizontal="center" vertical="top"/>
    </xf>
    <xf numFmtId="3" fontId="3" fillId="0" borderId="25" xfId="0" applyNumberFormat="1" applyFont="1" applyFill="1" applyBorder="1" applyAlignment="1">
      <alignment horizontal="center" vertical="top" wrapText="1"/>
    </xf>
    <xf numFmtId="3" fontId="3" fillId="0" borderId="16" xfId="0" applyNumberFormat="1" applyFont="1" applyFill="1" applyBorder="1" applyAlignment="1">
      <alignment horizontal="center" vertical="top" wrapText="1"/>
    </xf>
    <xf numFmtId="0" fontId="3" fillId="0" borderId="42" xfId="0" applyFont="1" applyBorder="1" applyAlignment="1">
      <alignment horizontal="center" vertical="center" wrapText="1"/>
    </xf>
    <xf numFmtId="0" fontId="7" fillId="0" borderId="8" xfId="0" applyFont="1" applyBorder="1" applyAlignment="1">
      <alignment horizontal="center" vertical="center" wrapText="1"/>
    </xf>
    <xf numFmtId="0" fontId="3" fillId="6" borderId="38" xfId="0" applyFont="1" applyFill="1" applyBorder="1" applyAlignment="1">
      <alignment horizontal="left" vertical="top" wrapText="1"/>
    </xf>
    <xf numFmtId="49" fontId="3" fillId="6" borderId="19" xfId="0" applyNumberFormat="1" applyFont="1" applyFill="1" applyBorder="1" applyAlignment="1">
      <alignment horizontal="center" vertical="center" wrapText="1"/>
    </xf>
    <xf numFmtId="0" fontId="7" fillId="6" borderId="19" xfId="0" applyFont="1" applyFill="1" applyBorder="1" applyAlignment="1">
      <alignment horizontal="center" vertical="center" wrapText="1"/>
    </xf>
    <xf numFmtId="0" fontId="7" fillId="6" borderId="5" xfId="0" applyFont="1" applyFill="1" applyBorder="1" applyAlignment="1">
      <alignment horizontal="center" vertical="center" wrapText="1"/>
    </xf>
    <xf numFmtId="0" fontId="3" fillId="6" borderId="5" xfId="0" applyFont="1" applyFill="1" applyBorder="1" applyAlignment="1">
      <alignment horizontal="center" wrapText="1"/>
    </xf>
    <xf numFmtId="0" fontId="3" fillId="6" borderId="8" xfId="0" applyFont="1" applyFill="1" applyBorder="1" applyAlignment="1">
      <alignment horizontal="center" wrapText="1"/>
    </xf>
    <xf numFmtId="0" fontId="3" fillId="0" borderId="20" xfId="0" applyFont="1" applyBorder="1" applyAlignment="1">
      <alignment horizontal="center" wrapText="1"/>
    </xf>
    <xf numFmtId="0" fontId="7" fillId="14" borderId="30" xfId="0" applyFont="1" applyFill="1" applyBorder="1" applyAlignment="1">
      <alignment horizontal="left" vertical="top" wrapText="1"/>
    </xf>
    <xf numFmtId="0" fontId="5" fillId="15" borderId="1" xfId="0" applyFont="1" applyFill="1" applyBorder="1" applyAlignment="1">
      <alignment horizontal="center" vertical="center" textRotation="90" wrapText="1"/>
    </xf>
    <xf numFmtId="0" fontId="5" fillId="15" borderId="29" xfId="0" applyFont="1" applyFill="1" applyBorder="1" applyAlignment="1">
      <alignment horizontal="center" vertical="center" textRotation="90" wrapText="1"/>
    </xf>
    <xf numFmtId="0" fontId="7" fillId="0" borderId="14" xfId="0" applyFont="1" applyBorder="1" applyAlignment="1">
      <alignment vertical="top" wrapText="1"/>
    </xf>
    <xf numFmtId="0" fontId="3" fillId="14" borderId="44" xfId="0" applyFont="1" applyFill="1" applyBorder="1" applyAlignment="1">
      <alignment horizontal="left" vertical="top" wrapText="1"/>
    </xf>
    <xf numFmtId="0" fontId="3" fillId="14" borderId="28" xfId="0" applyFont="1" applyFill="1" applyBorder="1" applyAlignment="1">
      <alignment horizontal="left" vertical="top" wrapText="1"/>
    </xf>
    <xf numFmtId="0" fontId="5" fillId="15" borderId="46" xfId="0" applyFont="1" applyFill="1" applyBorder="1" applyAlignment="1">
      <alignment horizontal="center" vertical="center" wrapText="1"/>
    </xf>
    <xf numFmtId="0" fontId="7" fillId="6" borderId="19" xfId="0" applyFont="1" applyFill="1" applyBorder="1" applyAlignment="1">
      <alignment horizontal="center" vertical="top" wrapText="1"/>
    </xf>
    <xf numFmtId="0" fontId="7" fillId="6" borderId="5" xfId="0" applyFont="1" applyFill="1" applyBorder="1" applyAlignment="1">
      <alignment horizontal="center" vertical="top" wrapText="1"/>
    </xf>
    <xf numFmtId="0" fontId="2" fillId="15" borderId="46" xfId="0" applyFont="1" applyFill="1" applyBorder="1" applyAlignment="1">
      <alignment horizontal="center" vertical="center" textRotation="90"/>
    </xf>
    <xf numFmtId="0" fontId="3" fillId="14" borderId="33" xfId="0" applyFont="1" applyFill="1" applyBorder="1" applyAlignment="1">
      <alignment horizontal="left" vertical="top" wrapText="1"/>
    </xf>
    <xf numFmtId="0" fontId="7" fillId="14" borderId="33" xfId="0" applyFont="1" applyFill="1" applyBorder="1" applyAlignment="1">
      <alignment horizontal="left" vertical="top" wrapText="1"/>
    </xf>
    <xf numFmtId="0" fontId="1" fillId="15" borderId="28" xfId="0" applyFont="1" applyFill="1" applyBorder="1" applyAlignment="1">
      <alignment horizontal="center" vertical="center" textRotation="90" wrapText="1"/>
    </xf>
    <xf numFmtId="0" fontId="7" fillId="6" borderId="9" xfId="0" applyFont="1" applyFill="1" applyBorder="1" applyAlignment="1">
      <alignment vertical="top" wrapText="1"/>
    </xf>
    <xf numFmtId="49" fontId="3" fillId="6" borderId="20" xfId="0" applyNumberFormat="1" applyFont="1" applyFill="1" applyBorder="1" applyAlignment="1">
      <alignment horizontal="center" vertical="center" wrapText="1"/>
    </xf>
    <xf numFmtId="0" fontId="3" fillId="12" borderId="16" xfId="0" applyFont="1" applyFill="1" applyBorder="1" applyAlignment="1">
      <alignment horizontal="left" vertical="top" wrapText="1"/>
    </xf>
    <xf numFmtId="0" fontId="3" fillId="0" borderId="16" xfId="0" applyFont="1" applyBorder="1" applyAlignment="1">
      <alignment horizontal="left" vertical="top" wrapText="1"/>
    </xf>
    <xf numFmtId="0" fontId="3" fillId="0" borderId="23" xfId="0" applyFont="1" applyBorder="1" applyAlignment="1">
      <alignment horizontal="left" vertical="top" wrapText="1"/>
    </xf>
    <xf numFmtId="3" fontId="3" fillId="6" borderId="16" xfId="0" applyNumberFormat="1" applyFont="1" applyFill="1" applyBorder="1" applyAlignment="1">
      <alignment horizontal="left" vertical="top" wrapText="1"/>
    </xf>
    <xf numFmtId="0" fontId="7" fillId="6" borderId="16" xfId="0" applyFont="1" applyFill="1" applyBorder="1" applyAlignment="1">
      <alignment horizontal="left" vertical="top" wrapText="1"/>
    </xf>
    <xf numFmtId="3" fontId="3" fillId="6" borderId="1" xfId="0" applyNumberFormat="1" applyFont="1" applyFill="1" applyBorder="1" applyAlignment="1">
      <alignment horizontal="left" vertical="top" wrapText="1"/>
    </xf>
    <xf numFmtId="0" fontId="0" fillId="6" borderId="16" xfId="0" applyFill="1" applyBorder="1" applyAlignment="1">
      <alignment horizontal="left" vertical="top" wrapText="1"/>
    </xf>
    <xf numFmtId="0" fontId="0" fillId="6" borderId="29" xfId="0" applyFill="1" applyBorder="1" applyAlignment="1">
      <alignment horizontal="left" vertical="top" wrapText="1"/>
    </xf>
    <xf numFmtId="0" fontId="0" fillId="0" borderId="29" xfId="0" applyBorder="1" applyAlignment="1">
      <alignment horizontal="left" vertical="top" wrapText="1"/>
    </xf>
    <xf numFmtId="3" fontId="3" fillId="6" borderId="91" xfId="1" applyNumberFormat="1" applyFont="1" applyFill="1" applyBorder="1" applyAlignment="1">
      <alignment horizontal="left" vertical="top" wrapText="1"/>
    </xf>
    <xf numFmtId="0" fontId="0" fillId="0" borderId="71" xfId="0" applyBorder="1" applyAlignment="1">
      <alignment horizontal="left" vertical="top" wrapText="1"/>
    </xf>
    <xf numFmtId="0" fontId="0" fillId="0" borderId="16" xfId="0" applyBorder="1" applyAlignment="1">
      <alignment horizontal="left" vertical="top" wrapText="1"/>
    </xf>
    <xf numFmtId="0" fontId="0" fillId="0" borderId="71" xfId="0" applyBorder="1" applyAlignment="1">
      <alignment horizontal="left" vertical="top"/>
    </xf>
    <xf numFmtId="0" fontId="0" fillId="0" borderId="16" xfId="0" applyBorder="1" applyAlignment="1">
      <alignment vertical="top" wrapText="1"/>
    </xf>
    <xf numFmtId="0" fontId="3" fillId="0" borderId="1" xfId="0" applyFont="1" applyFill="1" applyBorder="1" applyAlignment="1">
      <alignment horizontal="left" vertical="top" wrapText="1"/>
    </xf>
    <xf numFmtId="0" fontId="3" fillId="0" borderId="16" xfId="0" applyFont="1" applyFill="1" applyBorder="1" applyAlignment="1">
      <alignment horizontal="left" vertical="top" wrapText="1"/>
    </xf>
    <xf numFmtId="49" fontId="5" fillId="6" borderId="16" xfId="0" applyNumberFormat="1" applyFont="1" applyFill="1" applyBorder="1" applyAlignment="1">
      <alignment horizontal="center" vertical="top"/>
    </xf>
    <xf numFmtId="0" fontId="3" fillId="6" borderId="27" xfId="1" applyFont="1" applyFill="1" applyBorder="1" applyAlignment="1">
      <alignment vertical="top" wrapText="1"/>
    </xf>
    <xf numFmtId="0" fontId="2" fillId="0" borderId="18" xfId="0" applyFont="1" applyFill="1" applyBorder="1" applyAlignment="1">
      <alignment horizontal="center" vertical="center" textRotation="90" wrapText="1"/>
    </xf>
    <xf numFmtId="0" fontId="2" fillId="0" borderId="14" xfId="0" applyFont="1" applyFill="1" applyBorder="1" applyAlignment="1">
      <alignment horizontal="center" vertical="center" textRotation="90" wrapText="1"/>
    </xf>
    <xf numFmtId="0" fontId="2" fillId="0" borderId="30" xfId="0" applyFont="1" applyFill="1" applyBorder="1" applyAlignment="1">
      <alignment horizontal="center" vertical="center" textRotation="90" wrapText="1"/>
    </xf>
    <xf numFmtId="0" fontId="0" fillId="0" borderId="9" xfId="0" applyBorder="1" applyAlignment="1">
      <alignment horizontal="left" vertical="top" wrapText="1"/>
    </xf>
    <xf numFmtId="3" fontId="3" fillId="6" borderId="29" xfId="0" applyNumberFormat="1" applyFont="1" applyFill="1" applyBorder="1" applyAlignment="1">
      <alignment horizontal="left" vertical="top" wrapText="1"/>
    </xf>
    <xf numFmtId="0" fontId="0" fillId="6" borderId="29" xfId="0" applyFill="1" applyBorder="1" applyAlignment="1">
      <alignment vertical="top" wrapText="1"/>
    </xf>
    <xf numFmtId="0" fontId="3" fillId="6" borderId="96" xfId="0" applyFont="1" applyFill="1" applyBorder="1" applyAlignment="1">
      <alignment horizontal="left" vertical="top" wrapText="1"/>
    </xf>
    <xf numFmtId="0" fontId="3" fillId="6" borderId="88" xfId="0" applyFont="1" applyFill="1" applyBorder="1" applyAlignment="1">
      <alignment horizontal="left" vertical="top" wrapText="1"/>
    </xf>
    <xf numFmtId="0" fontId="3" fillId="6" borderId="14" xfId="0" applyFont="1" applyFill="1" applyBorder="1" applyAlignment="1">
      <alignment horizontal="center" vertical="center" textRotation="90" wrapText="1"/>
    </xf>
    <xf numFmtId="0" fontId="0" fillId="0" borderId="14" xfId="0" applyBorder="1" applyAlignment="1">
      <alignment horizontal="center" vertical="center" textRotation="90" wrapText="1"/>
    </xf>
    <xf numFmtId="3" fontId="3" fillId="6" borderId="25" xfId="0" applyNumberFormat="1" applyFont="1" applyFill="1" applyBorder="1" applyAlignment="1">
      <alignment horizontal="left" vertical="top" wrapText="1"/>
    </xf>
    <xf numFmtId="0" fontId="7" fillId="6" borderId="23" xfId="0" applyFont="1" applyFill="1" applyBorder="1" applyAlignment="1">
      <alignment horizontal="left" vertical="top" wrapText="1"/>
    </xf>
    <xf numFmtId="0" fontId="3" fillId="0" borderId="63" xfId="0" applyFont="1" applyFill="1" applyBorder="1" applyAlignment="1">
      <alignment horizontal="center" vertical="center" textRotation="90" wrapText="1"/>
    </xf>
    <xf numFmtId="0" fontId="3" fillId="0" borderId="35" xfId="0" applyFont="1" applyFill="1" applyBorder="1" applyAlignment="1">
      <alignment horizontal="center" vertical="center" textRotation="90" wrapText="1"/>
    </xf>
    <xf numFmtId="0" fontId="3" fillId="0" borderId="65" xfId="0" applyFont="1" applyFill="1" applyBorder="1" applyAlignment="1">
      <alignment horizontal="center" vertical="center" textRotation="90" wrapText="1"/>
    </xf>
    <xf numFmtId="49" fontId="5" fillId="0" borderId="43" xfId="0" applyNumberFormat="1" applyFont="1" applyBorder="1" applyAlignment="1">
      <alignment horizontal="center" vertical="top"/>
    </xf>
    <xf numFmtId="49" fontId="5" fillId="0" borderId="46" xfId="0" applyNumberFormat="1" applyFont="1" applyBorder="1" applyAlignment="1">
      <alignment horizontal="center" vertical="top"/>
    </xf>
    <xf numFmtId="49" fontId="5" fillId="0" borderId="55" xfId="0" applyNumberFormat="1" applyFont="1" applyBorder="1" applyAlignment="1">
      <alignment horizontal="center" vertical="top"/>
    </xf>
    <xf numFmtId="0" fontId="5" fillId="0" borderId="50" xfId="0" applyFont="1" applyBorder="1" applyAlignment="1">
      <alignment horizontal="center" vertical="center" textRotation="90" shrinkToFit="1"/>
    </xf>
    <xf numFmtId="0" fontId="5" fillId="0" borderId="49" xfId="0" applyFont="1" applyBorder="1" applyAlignment="1">
      <alignment horizontal="center" vertical="center" textRotation="90" shrinkToFit="1"/>
    </xf>
    <xf numFmtId="0" fontId="5" fillId="0" borderId="32" xfId="0" applyFont="1" applyBorder="1" applyAlignment="1">
      <alignment horizontal="center" vertical="center" textRotation="90" shrinkToFit="1"/>
    </xf>
    <xf numFmtId="3" fontId="3" fillId="0" borderId="24" xfId="0" applyNumberFormat="1" applyFont="1" applyBorder="1" applyAlignment="1">
      <alignment horizontal="center" vertical="center" shrinkToFit="1"/>
    </xf>
    <xf numFmtId="3" fontId="3" fillId="0" borderId="14" xfId="0" applyNumberFormat="1" applyFont="1" applyBorder="1" applyAlignment="1">
      <alignment horizontal="center" vertical="center" shrinkToFit="1"/>
    </xf>
    <xf numFmtId="3" fontId="3" fillId="0" borderId="22" xfId="0" applyNumberFormat="1" applyFont="1" applyBorder="1" applyAlignment="1">
      <alignment horizontal="center" vertical="center" shrinkToFit="1"/>
    </xf>
    <xf numFmtId="3" fontId="3" fillId="0" borderId="25" xfId="0" applyNumberFormat="1" applyFont="1" applyBorder="1" applyAlignment="1">
      <alignment horizontal="center" vertical="center" textRotation="90" wrapText="1"/>
    </xf>
    <xf numFmtId="3" fontId="3" fillId="0" borderId="16" xfId="0" applyNumberFormat="1" applyFont="1" applyBorder="1" applyAlignment="1">
      <alignment horizontal="center" vertical="center" textRotation="90" wrapText="1"/>
    </xf>
    <xf numFmtId="3" fontId="3" fillId="0" borderId="23" xfId="0" applyNumberFormat="1" applyFont="1" applyBorder="1" applyAlignment="1">
      <alignment horizontal="center" vertical="center" textRotation="90" wrapText="1"/>
    </xf>
    <xf numFmtId="0" fontId="3" fillId="6" borderId="24" xfId="0" applyFont="1" applyFill="1" applyBorder="1" applyAlignment="1">
      <alignment horizontal="center" vertical="center" textRotation="90" wrapText="1" shrinkToFit="1"/>
    </xf>
    <xf numFmtId="0" fontId="3" fillId="6" borderId="14" xfId="0" applyFont="1" applyFill="1" applyBorder="1" applyAlignment="1">
      <alignment horizontal="center" vertical="center" textRotation="90" wrapText="1" shrinkToFit="1"/>
    </xf>
    <xf numFmtId="0" fontId="3" fillId="6" borderId="22" xfId="0" applyFont="1" applyFill="1" applyBorder="1" applyAlignment="1">
      <alignment horizontal="center" vertical="center" textRotation="90" wrapText="1" shrinkToFit="1"/>
    </xf>
    <xf numFmtId="165" fontId="3" fillId="0" borderId="67" xfId="0" applyNumberFormat="1" applyFont="1" applyBorder="1" applyAlignment="1">
      <alignment horizontal="center" vertical="center" textRotation="90" wrapText="1"/>
    </xf>
    <xf numFmtId="0" fontId="7" fillId="0" borderId="36" xfId="0" applyFont="1" applyBorder="1" applyAlignment="1">
      <alignment horizontal="center" vertical="center" textRotation="90" wrapText="1"/>
    </xf>
    <xf numFmtId="0" fontId="7" fillId="0" borderId="31" xfId="0" applyFont="1" applyBorder="1" applyAlignment="1">
      <alignment horizontal="center" vertical="center" textRotation="90" wrapText="1"/>
    </xf>
    <xf numFmtId="0" fontId="2" fillId="6" borderId="47" xfId="0" applyFont="1" applyFill="1" applyBorder="1" applyAlignment="1">
      <alignment horizontal="center" vertical="center" textRotation="90" wrapText="1"/>
    </xf>
    <xf numFmtId="0" fontId="2" fillId="6" borderId="35" xfId="0" applyFont="1" applyFill="1" applyBorder="1" applyAlignment="1">
      <alignment horizontal="center" vertical="center" textRotation="90" wrapText="1"/>
    </xf>
    <xf numFmtId="0" fontId="2" fillId="6" borderId="17" xfId="0" applyFont="1" applyFill="1" applyBorder="1" applyAlignment="1">
      <alignment horizontal="center" vertical="center" textRotation="90" wrapText="1"/>
    </xf>
    <xf numFmtId="49" fontId="5" fillId="6" borderId="46" xfId="0" applyNumberFormat="1" applyFont="1" applyFill="1" applyBorder="1" applyAlignment="1">
      <alignment horizontal="center" vertical="top"/>
    </xf>
    <xf numFmtId="0" fontId="5" fillId="6" borderId="18" xfId="0" applyFont="1" applyFill="1" applyBorder="1" applyAlignment="1">
      <alignment horizontal="left" vertical="top" wrapText="1"/>
    </xf>
    <xf numFmtId="0" fontId="0" fillId="6" borderId="14" xfId="0" applyFill="1" applyBorder="1" applyAlignment="1">
      <alignment horizontal="left" vertical="top" wrapText="1"/>
    </xf>
    <xf numFmtId="0" fontId="8" fillId="6" borderId="18" xfId="0" applyFont="1" applyFill="1" applyBorder="1" applyAlignment="1">
      <alignment horizontal="center" vertical="center" textRotation="90" wrapText="1"/>
    </xf>
    <xf numFmtId="0" fontId="1" fillId="0" borderId="30" xfId="0" applyFont="1" applyBorder="1" applyAlignment="1">
      <alignment horizontal="center" vertical="center" textRotation="90" wrapText="1"/>
    </xf>
    <xf numFmtId="49" fontId="5" fillId="2" borderId="16" xfId="0" applyNumberFormat="1" applyFont="1" applyFill="1" applyBorder="1" applyAlignment="1">
      <alignment horizontal="center" vertical="top"/>
    </xf>
    <xf numFmtId="0" fontId="2" fillId="0" borderId="14" xfId="0" applyFont="1" applyBorder="1" applyAlignment="1">
      <alignment horizontal="center" vertical="center" textRotation="90" wrapText="1"/>
    </xf>
    <xf numFmtId="0" fontId="0" fillId="0" borderId="30" xfId="0" applyBorder="1" applyAlignment="1">
      <alignment horizontal="center" vertical="center" textRotation="90" wrapText="1"/>
    </xf>
    <xf numFmtId="0" fontId="3" fillId="6" borderId="41" xfId="0" applyFont="1" applyFill="1" applyBorder="1" applyAlignment="1">
      <alignment vertical="top" wrapText="1"/>
    </xf>
    <xf numFmtId="0" fontId="3" fillId="6" borderId="9" xfId="0" applyFont="1" applyFill="1" applyBorder="1" applyAlignment="1">
      <alignment horizontal="left" vertical="top" wrapText="1"/>
    </xf>
    <xf numFmtId="0" fontId="0" fillId="6" borderId="14" xfId="0" applyFill="1" applyBorder="1" applyAlignment="1">
      <alignment vertical="top" wrapText="1"/>
    </xf>
    <xf numFmtId="0" fontId="3" fillId="6" borderId="18" xfId="0" applyFont="1" applyFill="1" applyBorder="1" applyAlignment="1">
      <alignment horizontal="center" vertical="center" textRotation="90" wrapText="1"/>
    </xf>
    <xf numFmtId="0" fontId="3" fillId="6" borderId="30" xfId="0" applyFont="1" applyFill="1" applyBorder="1" applyAlignment="1">
      <alignment horizontal="center" vertical="center" textRotation="90" wrapText="1"/>
    </xf>
    <xf numFmtId="0" fontId="12" fillId="0" borderId="18" xfId="0" applyFont="1" applyBorder="1" applyAlignment="1">
      <alignment horizontal="center" vertical="center" textRotation="90" wrapText="1"/>
    </xf>
    <xf numFmtId="0" fontId="24" fillId="0" borderId="14" xfId="0" applyFont="1" applyBorder="1" applyAlignment="1">
      <alignment horizontal="center" wrapText="1"/>
    </xf>
    <xf numFmtId="49" fontId="5" fillId="6" borderId="16" xfId="0" applyNumberFormat="1" applyFont="1" applyFill="1" applyBorder="1" applyAlignment="1">
      <alignment horizontal="center" vertical="top" wrapText="1"/>
    </xf>
    <xf numFmtId="0" fontId="2" fillId="0" borderId="30" xfId="0" applyFont="1" applyBorder="1" applyAlignment="1">
      <alignment horizontal="center" vertical="center" textRotation="90" wrapText="1"/>
    </xf>
    <xf numFmtId="0" fontId="13" fillId="6" borderId="14" xfId="0" applyFont="1" applyFill="1" applyBorder="1" applyAlignment="1">
      <alignment horizontal="left" vertical="top" wrapText="1"/>
    </xf>
    <xf numFmtId="0" fontId="0" fillId="6" borderId="30" xfId="0" applyFill="1" applyBorder="1" applyAlignment="1">
      <alignment horizontal="left" vertical="top" wrapText="1"/>
    </xf>
    <xf numFmtId="0" fontId="17" fillId="6" borderId="63" xfId="0" applyFont="1" applyFill="1" applyBorder="1" applyAlignment="1">
      <alignment horizontal="center" vertical="center" textRotation="90" wrapText="1"/>
    </xf>
    <xf numFmtId="0" fontId="17" fillId="6" borderId="35" xfId="0" applyFont="1" applyFill="1" applyBorder="1" applyAlignment="1">
      <alignment horizontal="center" vertical="center" textRotation="90" wrapText="1"/>
    </xf>
    <xf numFmtId="49" fontId="5" fillId="6" borderId="25" xfId="0" applyNumberFormat="1" applyFont="1" applyFill="1" applyBorder="1" applyAlignment="1">
      <alignment horizontal="center" vertical="top"/>
    </xf>
    <xf numFmtId="0" fontId="3" fillId="6" borderId="47" xfId="0" applyFont="1" applyFill="1" applyBorder="1" applyAlignment="1">
      <alignment horizontal="center" vertical="center" wrapText="1"/>
    </xf>
    <xf numFmtId="0" fontId="3" fillId="6" borderId="17" xfId="0" applyFont="1" applyFill="1" applyBorder="1" applyAlignment="1">
      <alignment horizontal="center" vertical="center" wrapText="1"/>
    </xf>
    <xf numFmtId="49" fontId="5" fillId="10" borderId="10" xfId="0" applyNumberFormat="1" applyFont="1" applyFill="1" applyBorder="1" applyAlignment="1">
      <alignment horizontal="center" vertical="top"/>
    </xf>
    <xf numFmtId="49" fontId="5" fillId="3" borderId="55" xfId="0" applyNumberFormat="1" applyFont="1" applyFill="1" applyBorder="1" applyAlignment="1">
      <alignment horizontal="center" vertical="top"/>
    </xf>
    <xf numFmtId="49" fontId="5" fillId="6" borderId="22" xfId="0" applyNumberFormat="1" applyFont="1" applyFill="1" applyBorder="1" applyAlignment="1">
      <alignment horizontal="center" vertical="top"/>
    </xf>
    <xf numFmtId="0" fontId="3" fillId="6" borderId="24" xfId="0" applyFont="1" applyFill="1" applyBorder="1" applyAlignment="1">
      <alignment horizontal="left" vertical="top" wrapText="1"/>
    </xf>
    <xf numFmtId="0" fontId="7" fillId="6" borderId="22" xfId="0" applyFont="1" applyFill="1" applyBorder="1" applyAlignment="1">
      <alignment vertical="top"/>
    </xf>
    <xf numFmtId="0" fontId="0" fillId="0" borderId="30" xfId="0" applyBorder="1" applyAlignment="1">
      <alignment horizontal="left" vertical="top" wrapText="1"/>
    </xf>
    <xf numFmtId="0" fontId="0" fillId="0" borderId="89" xfId="0" applyBorder="1" applyAlignment="1">
      <alignment horizontal="left" vertical="top" wrapText="1"/>
    </xf>
    <xf numFmtId="49" fontId="5" fillId="6" borderId="90" xfId="0" applyNumberFormat="1" applyFont="1" applyFill="1" applyBorder="1" applyAlignment="1">
      <alignment horizontal="center" vertical="center" textRotation="90" wrapText="1"/>
    </xf>
    <xf numFmtId="49" fontId="5" fillId="6" borderId="89" xfId="0" applyNumberFormat="1" applyFont="1" applyFill="1" applyBorder="1" applyAlignment="1">
      <alignment horizontal="center" vertical="center" textRotation="90" wrapText="1"/>
    </xf>
    <xf numFmtId="0" fontId="5" fillId="6" borderId="7" xfId="0" applyFont="1" applyFill="1" applyBorder="1" applyAlignment="1">
      <alignment vertical="top" wrapText="1"/>
    </xf>
    <xf numFmtId="0" fontId="2" fillId="6" borderId="18" xfId="0" applyFont="1" applyFill="1" applyBorder="1" applyAlignment="1">
      <alignment vertical="center" textRotation="90"/>
    </xf>
    <xf numFmtId="0" fontId="2" fillId="6" borderId="14" xfId="0" applyFont="1" applyFill="1" applyBorder="1" applyAlignment="1">
      <alignment vertical="center" textRotation="90"/>
    </xf>
    <xf numFmtId="0" fontId="2" fillId="6" borderId="30" xfId="0" applyFont="1" applyFill="1" applyBorder="1" applyAlignment="1">
      <alignment vertical="center" textRotation="90"/>
    </xf>
    <xf numFmtId="0" fontId="2" fillId="6" borderId="18" xfId="0" applyFont="1" applyFill="1" applyBorder="1" applyAlignment="1">
      <alignment horizontal="center" vertical="center" textRotation="90" wrapText="1"/>
    </xf>
    <xf numFmtId="0" fontId="14" fillId="6" borderId="14" xfId="0" applyFont="1" applyFill="1" applyBorder="1" applyAlignment="1">
      <alignment horizontal="left" vertical="top" wrapText="1"/>
    </xf>
    <xf numFmtId="0" fontId="14" fillId="6" borderId="44" xfId="0" applyFont="1" applyFill="1" applyBorder="1" applyAlignment="1">
      <alignment horizontal="left" vertical="top" wrapText="1"/>
    </xf>
    <xf numFmtId="0" fontId="7" fillId="6" borderId="46" xfId="0" applyFont="1" applyFill="1" applyBorder="1" applyAlignment="1">
      <alignment horizontal="left" vertical="top" wrapText="1"/>
    </xf>
    <xf numFmtId="0" fontId="7" fillId="6" borderId="28" xfId="0" applyFont="1" applyFill="1" applyBorder="1" applyAlignment="1"/>
    <xf numFmtId="0" fontId="14" fillId="6" borderId="18" xfId="0" applyFont="1" applyFill="1" applyBorder="1" applyAlignment="1">
      <alignment horizontal="left" vertical="top" wrapText="1"/>
    </xf>
    <xf numFmtId="0" fontId="2" fillId="6" borderId="14" xfId="0" applyFont="1" applyFill="1" applyBorder="1" applyAlignment="1">
      <alignment horizontal="center" vertical="center" textRotation="90" wrapText="1"/>
    </xf>
    <xf numFmtId="0" fontId="3" fillId="0" borderId="0" xfId="0" applyFont="1" applyAlignment="1">
      <alignment horizontal="center" vertical="center"/>
    </xf>
    <xf numFmtId="0" fontId="0" fillId="0" borderId="59" xfId="0" applyBorder="1" applyAlignment="1">
      <alignment horizontal="center" vertical="top" wrapText="1"/>
    </xf>
    <xf numFmtId="0" fontId="0" fillId="0" borderId="60" xfId="0" applyBorder="1" applyAlignment="1">
      <alignment horizontal="center" vertical="top" wrapText="1"/>
    </xf>
    <xf numFmtId="49" fontId="15" fillId="10" borderId="68" xfId="0" applyNumberFormat="1" applyFont="1" applyFill="1" applyBorder="1" applyAlignment="1">
      <alignment horizontal="center" vertical="top"/>
    </xf>
    <xf numFmtId="49" fontId="15" fillId="9" borderId="11" xfId="0" applyNumberFormat="1" applyFont="1" applyFill="1" applyBorder="1" applyAlignment="1">
      <alignment horizontal="center" vertical="top"/>
    </xf>
    <xf numFmtId="49" fontId="15" fillId="6" borderId="62" xfId="0" applyNumberFormat="1" applyFont="1" applyFill="1" applyBorder="1" applyAlignment="1">
      <alignment horizontal="center" vertical="top"/>
    </xf>
    <xf numFmtId="3" fontId="3" fillId="6" borderId="11" xfId="0" applyNumberFormat="1" applyFont="1" applyFill="1" applyBorder="1" applyAlignment="1">
      <alignment horizontal="left" vertical="top" wrapText="1"/>
    </xf>
    <xf numFmtId="3" fontId="5" fillId="6" borderId="37" xfId="0" applyNumberFormat="1" applyFont="1" applyFill="1" applyBorder="1" applyAlignment="1">
      <alignment horizontal="center" vertical="top" wrapText="1"/>
    </xf>
    <xf numFmtId="3" fontId="5" fillId="6" borderId="0" xfId="0" applyNumberFormat="1" applyFont="1" applyFill="1" applyBorder="1" applyAlignment="1">
      <alignment horizontal="center" vertical="top" wrapText="1"/>
    </xf>
    <xf numFmtId="0" fontId="7" fillId="6" borderId="22" xfId="0" applyFont="1" applyFill="1" applyBorder="1" applyAlignment="1">
      <alignment vertical="top" wrapText="1"/>
    </xf>
    <xf numFmtId="0" fontId="5" fillId="6" borderId="30" xfId="0" applyFont="1" applyFill="1" applyBorder="1" applyAlignment="1">
      <alignment horizontal="center" vertical="top" wrapText="1"/>
    </xf>
    <xf numFmtId="0" fontId="3" fillId="0" borderId="25" xfId="0" applyNumberFormat="1" applyFont="1" applyFill="1" applyBorder="1" applyAlignment="1">
      <alignment horizontal="left" vertical="top" wrapText="1"/>
    </xf>
    <xf numFmtId="0" fontId="0" fillId="0" borderId="16" xfId="0" applyFill="1" applyBorder="1" applyAlignment="1">
      <alignment horizontal="left" vertical="top" wrapText="1"/>
    </xf>
    <xf numFmtId="0" fontId="0" fillId="0" borderId="23" xfId="0" applyFill="1" applyBorder="1" applyAlignment="1">
      <alignment horizontal="left" vertical="top" wrapText="1"/>
    </xf>
    <xf numFmtId="49" fontId="3" fillId="6" borderId="16" xfId="0" applyNumberFormat="1" applyFont="1" applyFill="1" applyBorder="1" applyAlignment="1">
      <alignment horizontal="left" vertical="top" wrapText="1"/>
    </xf>
    <xf numFmtId="0" fontId="0" fillId="0" borderId="59" xfId="0" applyFont="1" applyBorder="1" applyAlignment="1">
      <alignment horizontal="left" vertical="top" wrapText="1"/>
    </xf>
    <xf numFmtId="0" fontId="0" fillId="0" borderId="59" xfId="0" applyBorder="1" applyAlignment="1">
      <alignment horizontal="left" vertical="top" wrapText="1"/>
    </xf>
    <xf numFmtId="0" fontId="0" fillId="6" borderId="89" xfId="0" applyFill="1" applyBorder="1" applyAlignment="1">
      <alignment vertical="top" wrapText="1"/>
    </xf>
    <xf numFmtId="0" fontId="3" fillId="6" borderId="88" xfId="0" applyFont="1" applyFill="1" applyBorder="1" applyAlignment="1">
      <alignment vertical="top" wrapText="1"/>
    </xf>
    <xf numFmtId="0" fontId="5" fillId="9" borderId="59" xfId="0" applyFont="1" applyFill="1" applyBorder="1" applyAlignment="1">
      <alignment horizontal="left" vertical="top" wrapText="1"/>
    </xf>
  </cellXfs>
  <cellStyles count="4">
    <cellStyle name="Excel Built-in Normal" xfId="3"/>
    <cellStyle name="Įprastas" xfId="0" builtinId="0"/>
    <cellStyle name="Įprastas 2" xfId="1"/>
    <cellStyle name="Stilius 1" xfId="2"/>
  </cellStyles>
  <dxfs count="0"/>
  <tableStyles count="0" defaultTableStyle="TableStyleMedium2" defaultPivotStyle="PivotStyleLight16"/>
  <colors>
    <mruColors>
      <color rgb="FFFFFFCC"/>
      <color rgb="FFCCFFCC"/>
      <color rgb="FF99FF99"/>
      <color rgb="FFFFFF99"/>
      <color rgb="FF66FF99"/>
      <color rgb="FFCCC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67"/>
  <sheetViews>
    <sheetView tabSelected="1" zoomScaleNormal="100" zoomScaleSheetLayoutView="100" workbookViewId="0">
      <selection activeCell="W15" sqref="W15"/>
    </sheetView>
  </sheetViews>
  <sheetFormatPr defaultRowHeight="12.75" x14ac:dyDescent="0.2"/>
  <cols>
    <col min="1" max="3" width="2.7109375" style="5" customWidth="1"/>
    <col min="4" max="4" width="32" style="5" customWidth="1"/>
    <col min="5" max="5" width="4.7109375" style="12" customWidth="1"/>
    <col min="6" max="6" width="8.28515625" style="19" customWidth="1"/>
    <col min="7" max="9" width="8.85546875" style="5" customWidth="1"/>
    <col min="10" max="10" width="37" style="5" customWidth="1"/>
    <col min="11" max="13" width="4.5703125" style="5" customWidth="1"/>
    <col min="14" max="18" width="9.140625" style="3"/>
    <col min="19" max="19" width="6.5703125" style="3" customWidth="1"/>
    <col min="20" max="16384" width="9.140625" style="3"/>
  </cols>
  <sheetData>
    <row r="1" spans="1:13" s="43" customFormat="1" ht="14.25" customHeight="1" x14ac:dyDescent="0.2">
      <c r="A1" s="229"/>
      <c r="B1" s="230"/>
      <c r="C1" s="342"/>
      <c r="E1" s="231"/>
      <c r="F1" s="40"/>
      <c r="G1" s="14"/>
      <c r="H1" s="14"/>
      <c r="I1" s="589"/>
      <c r="J1" s="1616" t="s">
        <v>267</v>
      </c>
      <c r="K1" s="1617"/>
      <c r="L1" s="1617"/>
      <c r="M1" s="1617"/>
    </row>
    <row r="2" spans="1:13" s="43" customFormat="1" ht="17.25" customHeight="1" x14ac:dyDescent="0.2">
      <c r="A2" s="229"/>
      <c r="B2" s="230"/>
      <c r="C2" s="342"/>
      <c r="E2" s="231"/>
      <c r="F2" s="40"/>
      <c r="G2" s="14"/>
      <c r="H2" s="14"/>
      <c r="I2" s="589"/>
      <c r="J2" s="1616" t="s">
        <v>268</v>
      </c>
      <c r="K2" s="1617"/>
      <c r="L2" s="1617"/>
      <c r="M2" s="1617"/>
    </row>
    <row r="3" spans="1:13" s="43" customFormat="1" ht="14.25" customHeight="1" x14ac:dyDescent="0.2">
      <c r="A3" s="229"/>
      <c r="B3" s="230"/>
      <c r="C3" s="342"/>
      <c r="E3" s="231"/>
      <c r="F3" s="40"/>
      <c r="G3" s="14"/>
      <c r="H3" s="14"/>
      <c r="I3" s="589"/>
      <c r="J3" s="1379" t="s">
        <v>266</v>
      </c>
      <c r="K3" s="1380"/>
      <c r="L3" s="1380"/>
      <c r="M3" s="1380"/>
    </row>
    <row r="4" spans="1:13" s="43" customFormat="1" ht="12" customHeight="1" x14ac:dyDescent="0.2">
      <c r="A4" s="229"/>
      <c r="B4" s="230"/>
      <c r="C4" s="342"/>
      <c r="E4" s="231"/>
      <c r="F4" s="40"/>
      <c r="G4" s="14"/>
      <c r="H4" s="14"/>
      <c r="I4" s="589"/>
      <c r="J4" s="589"/>
      <c r="K4" s="589"/>
      <c r="L4" s="589"/>
    </row>
    <row r="5" spans="1:13" ht="11.25" customHeight="1" x14ac:dyDescent="0.2">
      <c r="C5" s="9"/>
      <c r="I5" s="239"/>
      <c r="J5" s="239"/>
      <c r="K5" s="239"/>
      <c r="L5" s="239"/>
      <c r="M5" s="3"/>
    </row>
    <row r="6" spans="1:13" s="47" customFormat="1" ht="15.75" x14ac:dyDescent="0.2">
      <c r="A6" s="1618" t="s">
        <v>449</v>
      </c>
      <c r="B6" s="1618"/>
      <c r="C6" s="1618"/>
      <c r="D6" s="1618"/>
      <c r="E6" s="1618"/>
      <c r="F6" s="1618"/>
      <c r="G6" s="1618"/>
      <c r="H6" s="1618"/>
      <c r="I6" s="1618"/>
      <c r="J6" s="1618"/>
      <c r="K6" s="1618"/>
      <c r="L6" s="1618"/>
    </row>
    <row r="7" spans="1:13" ht="15.75" x14ac:dyDescent="0.2">
      <c r="A7" s="1619" t="s">
        <v>25</v>
      </c>
      <c r="B7" s="1619"/>
      <c r="C7" s="1619"/>
      <c r="D7" s="1619"/>
      <c r="E7" s="1619"/>
      <c r="F7" s="1619"/>
      <c r="G7" s="1619"/>
      <c r="H7" s="1619"/>
      <c r="I7" s="1619"/>
      <c r="J7" s="1619"/>
      <c r="K7" s="1619"/>
      <c r="L7" s="1619"/>
      <c r="M7" s="3"/>
    </row>
    <row r="8" spans="1:13" ht="15.75" x14ac:dyDescent="0.2">
      <c r="A8" s="1620" t="s">
        <v>98</v>
      </c>
      <c r="B8" s="1620"/>
      <c r="C8" s="1620"/>
      <c r="D8" s="1620"/>
      <c r="E8" s="1620"/>
      <c r="F8" s="1620"/>
      <c r="G8" s="1620"/>
      <c r="H8" s="1620"/>
      <c r="I8" s="1620"/>
      <c r="J8" s="1620"/>
      <c r="K8" s="1620"/>
      <c r="L8" s="1620"/>
      <c r="M8" s="3"/>
    </row>
    <row r="9" spans="1:13" ht="13.5" thickBot="1" x14ac:dyDescent="0.25">
      <c r="C9" s="9"/>
      <c r="I9" s="1621" t="s">
        <v>95</v>
      </c>
      <c r="J9" s="1621"/>
      <c r="K9" s="1621"/>
      <c r="L9" s="1622"/>
      <c r="M9" s="3"/>
    </row>
    <row r="10" spans="1:13" s="47" customFormat="1" ht="24.75" customHeight="1" x14ac:dyDescent="0.2">
      <c r="A10" s="1798" t="s">
        <v>17</v>
      </c>
      <c r="B10" s="1801" t="s">
        <v>0</v>
      </c>
      <c r="C10" s="1801" t="s">
        <v>1</v>
      </c>
      <c r="D10" s="1804" t="s">
        <v>12</v>
      </c>
      <c r="E10" s="1792" t="s">
        <v>2</v>
      </c>
      <c r="F10" s="1795" t="s">
        <v>4</v>
      </c>
      <c r="G10" s="1776" t="s">
        <v>325</v>
      </c>
      <c r="H10" s="1776" t="s">
        <v>198</v>
      </c>
      <c r="I10" s="1776" t="s">
        <v>326</v>
      </c>
      <c r="J10" s="1779" t="s">
        <v>11</v>
      </c>
      <c r="K10" s="1780"/>
      <c r="L10" s="1780"/>
      <c r="M10" s="1781"/>
    </row>
    <row r="11" spans="1:13" s="47" customFormat="1" ht="18.75" customHeight="1" x14ac:dyDescent="0.2">
      <c r="A11" s="1799"/>
      <c r="B11" s="1802"/>
      <c r="C11" s="1802"/>
      <c r="D11" s="1805"/>
      <c r="E11" s="1793"/>
      <c r="F11" s="1796"/>
      <c r="G11" s="1777"/>
      <c r="H11" s="1777"/>
      <c r="I11" s="1777"/>
      <c r="J11" s="1782" t="s">
        <v>12</v>
      </c>
      <c r="K11" s="1784"/>
      <c r="L11" s="1784"/>
      <c r="M11" s="1785"/>
    </row>
    <row r="12" spans="1:13" s="47" customFormat="1" ht="59.25" customHeight="1" thickBot="1" x14ac:dyDescent="0.25">
      <c r="A12" s="1800"/>
      <c r="B12" s="1803"/>
      <c r="C12" s="1803"/>
      <c r="D12" s="1806"/>
      <c r="E12" s="1794"/>
      <c r="F12" s="1797"/>
      <c r="G12" s="1778"/>
      <c r="H12" s="1778"/>
      <c r="I12" s="1778"/>
      <c r="J12" s="1783"/>
      <c r="K12" s="114" t="s">
        <v>149</v>
      </c>
      <c r="L12" s="114" t="s">
        <v>199</v>
      </c>
      <c r="M12" s="4" t="s">
        <v>327</v>
      </c>
    </row>
    <row r="13" spans="1:13" s="11" customFormat="1" ht="15" customHeight="1" x14ac:dyDescent="0.2">
      <c r="A13" s="1786" t="s">
        <v>60</v>
      </c>
      <c r="B13" s="1787"/>
      <c r="C13" s="1787"/>
      <c r="D13" s="1787"/>
      <c r="E13" s="1787"/>
      <c r="F13" s="1787"/>
      <c r="G13" s="1787"/>
      <c r="H13" s="1787"/>
      <c r="I13" s="1787"/>
      <c r="J13" s="1787"/>
      <c r="K13" s="1787"/>
      <c r="L13" s="1787"/>
      <c r="M13" s="1788"/>
    </row>
    <row r="14" spans="1:13" s="11" customFormat="1" ht="14.25" customHeight="1" x14ac:dyDescent="0.2">
      <c r="A14" s="1789" t="s">
        <v>45</v>
      </c>
      <c r="B14" s="1790"/>
      <c r="C14" s="1790"/>
      <c r="D14" s="1790"/>
      <c r="E14" s="1790"/>
      <c r="F14" s="1790"/>
      <c r="G14" s="1790"/>
      <c r="H14" s="1790"/>
      <c r="I14" s="1790"/>
      <c r="J14" s="1790"/>
      <c r="K14" s="1790"/>
      <c r="L14" s="1790"/>
      <c r="M14" s="1791"/>
    </row>
    <row r="15" spans="1:13" ht="15" customHeight="1" x14ac:dyDescent="0.2">
      <c r="A15" s="24" t="s">
        <v>5</v>
      </c>
      <c r="B15" s="1768" t="s">
        <v>61</v>
      </c>
      <c r="C15" s="1769"/>
      <c r="D15" s="1769"/>
      <c r="E15" s="1769"/>
      <c r="F15" s="1769"/>
      <c r="G15" s="1769"/>
      <c r="H15" s="1769"/>
      <c r="I15" s="1769"/>
      <c r="J15" s="1769"/>
      <c r="K15" s="1769"/>
      <c r="L15" s="1769"/>
      <c r="M15" s="1770"/>
    </row>
    <row r="16" spans="1:13" ht="15.75" customHeight="1" x14ac:dyDescent="0.2">
      <c r="A16" s="36" t="s">
        <v>5</v>
      </c>
      <c r="B16" s="37" t="s">
        <v>5</v>
      </c>
      <c r="C16" s="1771" t="s">
        <v>41</v>
      </c>
      <c r="D16" s="1772"/>
      <c r="E16" s="1772"/>
      <c r="F16" s="1772"/>
      <c r="G16" s="1772"/>
      <c r="H16" s="1772"/>
      <c r="I16" s="1772"/>
      <c r="J16" s="1772"/>
      <c r="K16" s="1772"/>
      <c r="L16" s="1772"/>
      <c r="M16" s="1773"/>
    </row>
    <row r="17" spans="1:15" ht="12" customHeight="1" x14ac:dyDescent="0.2">
      <c r="A17" s="1371" t="s">
        <v>5</v>
      </c>
      <c r="B17" s="1373" t="s">
        <v>5</v>
      </c>
      <c r="C17" s="1393" t="s">
        <v>5</v>
      </c>
      <c r="D17" s="1707" t="s">
        <v>86</v>
      </c>
      <c r="E17" s="1279" t="s">
        <v>47</v>
      </c>
      <c r="F17" s="1408" t="s">
        <v>24</v>
      </c>
      <c r="G17" s="226">
        <v>3166.3</v>
      </c>
      <c r="H17" s="226">
        <v>7047.9</v>
      </c>
      <c r="I17" s="226">
        <v>9148.7999999999993</v>
      </c>
      <c r="J17" s="1775"/>
      <c r="K17" s="1401"/>
      <c r="L17" s="1401"/>
      <c r="M17" s="171"/>
    </row>
    <row r="18" spans="1:15" ht="12" customHeight="1" x14ac:dyDescent="0.2">
      <c r="A18" s="1371"/>
      <c r="B18" s="1373"/>
      <c r="C18" s="1393"/>
      <c r="D18" s="1774"/>
      <c r="E18" s="1440" t="s">
        <v>450</v>
      </c>
      <c r="F18" s="179" t="s">
        <v>58</v>
      </c>
      <c r="G18" s="136">
        <v>933.6</v>
      </c>
      <c r="H18" s="136">
        <v>0</v>
      </c>
      <c r="I18" s="136">
        <v>0</v>
      </c>
      <c r="J18" s="1775"/>
      <c r="K18" s="1401"/>
      <c r="L18" s="1401"/>
      <c r="M18" s="171"/>
    </row>
    <row r="19" spans="1:15" ht="12" customHeight="1" x14ac:dyDescent="0.2">
      <c r="A19" s="1371"/>
      <c r="B19" s="1373"/>
      <c r="C19" s="1393"/>
      <c r="D19" s="1707"/>
      <c r="E19" s="1440" t="s">
        <v>388</v>
      </c>
      <c r="F19" s="179" t="s">
        <v>248</v>
      </c>
      <c r="G19" s="136">
        <v>315.5</v>
      </c>
      <c r="H19" s="136">
        <v>354.3</v>
      </c>
      <c r="I19" s="136">
        <v>85.8</v>
      </c>
      <c r="J19" s="1775"/>
      <c r="K19" s="1401"/>
      <c r="L19" s="1401"/>
      <c r="M19" s="171"/>
    </row>
    <row r="20" spans="1:15" ht="12" customHeight="1" x14ac:dyDescent="0.2">
      <c r="A20" s="1371"/>
      <c r="B20" s="1373"/>
      <c r="C20" s="1393"/>
      <c r="D20" s="1707"/>
      <c r="E20" s="1280" t="s">
        <v>260</v>
      </c>
      <c r="F20" s="179" t="s">
        <v>249</v>
      </c>
      <c r="G20" s="136">
        <v>3573.9</v>
      </c>
      <c r="H20" s="136">
        <v>4014.6</v>
      </c>
      <c r="I20" s="136">
        <v>972.6</v>
      </c>
      <c r="J20" s="1775"/>
      <c r="K20" s="1401"/>
      <c r="L20" s="1401"/>
      <c r="M20" s="171"/>
    </row>
    <row r="21" spans="1:15" ht="12" customHeight="1" x14ac:dyDescent="0.2">
      <c r="A21" s="1371"/>
      <c r="B21" s="1373"/>
      <c r="C21" s="1393"/>
      <c r="D21" s="1707"/>
      <c r="E21" s="1280"/>
      <c r="F21" s="179" t="s">
        <v>48</v>
      </c>
      <c r="G21" s="136">
        <v>8.5</v>
      </c>
      <c r="H21" s="136">
        <v>1259.2</v>
      </c>
      <c r="I21" s="136">
        <v>839.5</v>
      </c>
      <c r="J21" s="1775"/>
      <c r="K21" s="1401"/>
      <c r="L21" s="1401"/>
      <c r="M21" s="171"/>
      <c r="N21" s="8"/>
      <c r="O21" s="8"/>
    </row>
    <row r="22" spans="1:15" ht="12" customHeight="1" x14ac:dyDescent="0.2">
      <c r="A22" s="1371"/>
      <c r="B22" s="1373"/>
      <c r="C22" s="1393"/>
      <c r="D22" s="1707"/>
      <c r="E22" s="1280"/>
      <c r="F22" s="179" t="s">
        <v>168</v>
      </c>
      <c r="G22" s="136">
        <v>0.8</v>
      </c>
      <c r="H22" s="136">
        <v>111.1</v>
      </c>
      <c r="I22" s="136">
        <v>74.099999999999994</v>
      </c>
      <c r="J22" s="1775"/>
      <c r="K22" s="1401"/>
      <c r="L22" s="1401"/>
      <c r="M22" s="171"/>
      <c r="N22" s="8"/>
      <c r="O22" s="8"/>
    </row>
    <row r="23" spans="1:15" ht="12" customHeight="1" x14ac:dyDescent="0.2">
      <c r="A23" s="1371"/>
      <c r="B23" s="1373"/>
      <c r="C23" s="1393"/>
      <c r="D23" s="1707"/>
      <c r="E23" s="1280"/>
      <c r="F23" s="179" t="s">
        <v>320</v>
      </c>
      <c r="G23" s="136">
        <v>0</v>
      </c>
      <c r="H23" s="136">
        <v>0</v>
      </c>
      <c r="I23" s="136">
        <v>1000</v>
      </c>
      <c r="J23" s="1775"/>
      <c r="K23" s="1401"/>
      <c r="L23" s="1401"/>
      <c r="M23" s="171"/>
      <c r="N23" s="8"/>
      <c r="O23" s="8"/>
    </row>
    <row r="24" spans="1:15" ht="12" customHeight="1" x14ac:dyDescent="0.2">
      <c r="A24" s="1371"/>
      <c r="B24" s="1373"/>
      <c r="C24" s="1393"/>
      <c r="D24" s="1707"/>
      <c r="E24" s="1280"/>
      <c r="F24" s="179" t="s">
        <v>40</v>
      </c>
      <c r="G24" s="136">
        <v>33.700000000000003</v>
      </c>
      <c r="H24" s="136">
        <v>33.700000000000003</v>
      </c>
      <c r="I24" s="136">
        <v>33.700000000000003</v>
      </c>
      <c r="J24" s="1775"/>
      <c r="K24" s="1401"/>
      <c r="L24" s="1401"/>
      <c r="M24" s="171"/>
      <c r="N24" s="8"/>
      <c r="O24" s="8"/>
    </row>
    <row r="25" spans="1:15" ht="12" customHeight="1" x14ac:dyDescent="0.2">
      <c r="A25" s="1371"/>
      <c r="B25" s="1373"/>
      <c r="C25" s="1393"/>
      <c r="D25" s="1707"/>
      <c r="E25" s="1281"/>
      <c r="F25" s="1408" t="s">
        <v>80</v>
      </c>
      <c r="G25" s="89">
        <v>6.3</v>
      </c>
      <c r="H25" s="89">
        <v>0</v>
      </c>
      <c r="I25" s="89">
        <v>2000</v>
      </c>
      <c r="J25" s="1775"/>
      <c r="K25" s="1401"/>
      <c r="L25" s="1401"/>
      <c r="M25" s="171"/>
      <c r="N25" s="8"/>
      <c r="O25" s="8"/>
    </row>
    <row r="26" spans="1:15" ht="13.5" customHeight="1" x14ac:dyDescent="0.2">
      <c r="A26" s="1371"/>
      <c r="B26" s="1373"/>
      <c r="C26" s="1393"/>
      <c r="D26" s="1679" t="s">
        <v>145</v>
      </c>
      <c r="E26" s="363" t="s">
        <v>450</v>
      </c>
      <c r="F26" s="575"/>
      <c r="G26" s="87"/>
      <c r="H26" s="87"/>
      <c r="I26" s="87"/>
      <c r="J26" s="1386" t="s">
        <v>87</v>
      </c>
      <c r="K26" s="118">
        <v>1</v>
      </c>
      <c r="L26" s="118"/>
      <c r="M26" s="173"/>
      <c r="N26" s="8"/>
      <c r="O26" s="8"/>
    </row>
    <row r="27" spans="1:15" ht="10.5" customHeight="1" x14ac:dyDescent="0.2">
      <c r="A27" s="1371"/>
      <c r="B27" s="1373"/>
      <c r="C27" s="1393"/>
      <c r="D27" s="1680"/>
      <c r="E27" s="1462" t="s">
        <v>388</v>
      </c>
      <c r="F27" s="1408"/>
      <c r="G27" s="226"/>
      <c r="H27" s="226"/>
      <c r="I27" s="226"/>
      <c r="J27" s="1763" t="s">
        <v>416</v>
      </c>
      <c r="K27" s="117"/>
      <c r="L27" s="117">
        <v>5</v>
      </c>
      <c r="M27" s="471">
        <v>20</v>
      </c>
      <c r="N27" s="8"/>
      <c r="O27" s="8"/>
    </row>
    <row r="28" spans="1:15" ht="13.5" customHeight="1" x14ac:dyDescent="0.2">
      <c r="A28" s="1371"/>
      <c r="B28" s="1373"/>
      <c r="C28" s="1393"/>
      <c r="D28" s="1680"/>
      <c r="E28" s="1463" t="s">
        <v>260</v>
      </c>
      <c r="F28" s="1408"/>
      <c r="G28" s="226"/>
      <c r="H28" s="226"/>
      <c r="I28" s="226"/>
      <c r="J28" s="1763"/>
      <c r="K28" s="117"/>
      <c r="L28" s="117"/>
      <c r="M28" s="471"/>
      <c r="N28" s="8"/>
      <c r="O28" s="8"/>
    </row>
    <row r="29" spans="1:15" ht="6.75" customHeight="1" x14ac:dyDescent="0.2">
      <c r="A29" s="1371"/>
      <c r="B29" s="1373"/>
      <c r="C29" s="1393"/>
      <c r="D29" s="1680"/>
      <c r="E29" s="438"/>
      <c r="F29" s="370"/>
      <c r="G29" s="89"/>
      <c r="H29" s="89"/>
      <c r="I29" s="89"/>
      <c r="J29" s="701"/>
      <c r="K29" s="470"/>
      <c r="L29" s="470"/>
      <c r="M29" s="492"/>
      <c r="N29" s="8"/>
      <c r="O29" s="8"/>
    </row>
    <row r="30" spans="1:15" ht="14.25" customHeight="1" x14ac:dyDescent="0.2">
      <c r="A30" s="1371"/>
      <c r="B30" s="1373"/>
      <c r="C30" s="1393"/>
      <c r="D30" s="1679" t="s">
        <v>173</v>
      </c>
      <c r="E30" s="1458" t="s">
        <v>450</v>
      </c>
      <c r="F30" s="575"/>
      <c r="G30" s="87"/>
      <c r="H30" s="87"/>
      <c r="I30" s="87"/>
      <c r="J30" s="1764" t="s">
        <v>114</v>
      </c>
      <c r="K30" s="118">
        <v>30</v>
      </c>
      <c r="L30" s="118">
        <v>70</v>
      </c>
      <c r="M30" s="173">
        <v>100</v>
      </c>
      <c r="N30" s="8"/>
      <c r="O30" s="8"/>
    </row>
    <row r="31" spans="1:15" ht="13.5" customHeight="1" x14ac:dyDescent="0.2">
      <c r="A31" s="1371"/>
      <c r="B31" s="1373"/>
      <c r="C31" s="1393"/>
      <c r="D31" s="1680"/>
      <c r="E31" s="1462" t="s">
        <v>388</v>
      </c>
      <c r="F31" s="1408"/>
      <c r="G31" s="226"/>
      <c r="H31" s="226"/>
      <c r="I31" s="226"/>
      <c r="J31" s="1759"/>
      <c r="K31" s="117"/>
      <c r="L31" s="117"/>
      <c r="M31" s="471"/>
    </row>
    <row r="32" spans="1:15" ht="13.5" customHeight="1" x14ac:dyDescent="0.2">
      <c r="A32" s="1371"/>
      <c r="B32" s="1373"/>
      <c r="C32" s="1393"/>
      <c r="D32" s="1680"/>
      <c r="E32" s="1463" t="s">
        <v>260</v>
      </c>
      <c r="F32" s="1408"/>
      <c r="G32" s="226"/>
      <c r="H32" s="226"/>
      <c r="I32" s="226"/>
      <c r="J32" s="1759"/>
      <c r="K32" s="117"/>
      <c r="L32" s="117"/>
      <c r="M32" s="471"/>
    </row>
    <row r="33" spans="1:16" ht="6.75" customHeight="1" x14ac:dyDescent="0.2">
      <c r="A33" s="1371"/>
      <c r="B33" s="1373"/>
      <c r="C33" s="1393"/>
      <c r="D33" s="1680"/>
      <c r="E33" s="1461"/>
      <c r="F33" s="1408"/>
      <c r="G33" s="226"/>
      <c r="H33" s="226"/>
      <c r="I33" s="226"/>
      <c r="J33" s="1765"/>
      <c r="K33" s="117"/>
      <c r="L33" s="117"/>
      <c r="M33" s="471"/>
    </row>
    <row r="34" spans="1:16" ht="15.75" customHeight="1" x14ac:dyDescent="0.2">
      <c r="A34" s="1371"/>
      <c r="B34" s="1373"/>
      <c r="C34" s="1393"/>
      <c r="D34" s="1679" t="s">
        <v>463</v>
      </c>
      <c r="E34" s="363" t="s">
        <v>450</v>
      </c>
      <c r="F34" s="575"/>
      <c r="G34" s="87"/>
      <c r="H34" s="87"/>
      <c r="I34" s="87"/>
      <c r="J34" s="1386" t="s">
        <v>87</v>
      </c>
      <c r="K34" s="118"/>
      <c r="L34" s="118"/>
      <c r="M34" s="173"/>
    </row>
    <row r="35" spans="1:16" ht="16.5" customHeight="1" x14ac:dyDescent="0.2">
      <c r="A35" s="1371"/>
      <c r="B35" s="1373"/>
      <c r="C35" s="1393"/>
      <c r="D35" s="1680"/>
      <c r="E35" s="1460" t="s">
        <v>260</v>
      </c>
      <c r="F35" s="1408"/>
      <c r="G35" s="226"/>
      <c r="H35" s="226"/>
      <c r="I35" s="226"/>
      <c r="J35" s="1758" t="s">
        <v>415</v>
      </c>
      <c r="K35" s="117">
        <v>35</v>
      </c>
      <c r="L35" s="117">
        <v>100</v>
      </c>
      <c r="M35" s="471"/>
    </row>
    <row r="36" spans="1:16" ht="18" customHeight="1" x14ac:dyDescent="0.2">
      <c r="A36" s="1371"/>
      <c r="B36" s="1373"/>
      <c r="C36" s="1393"/>
      <c r="D36" s="1680"/>
      <c r="E36" s="1457"/>
      <c r="F36" s="1408"/>
      <c r="G36" s="226"/>
      <c r="H36" s="226"/>
      <c r="I36" s="226"/>
      <c r="J36" s="1759"/>
      <c r="K36" s="117"/>
      <c r="L36" s="117"/>
      <c r="M36" s="471"/>
    </row>
    <row r="37" spans="1:16" ht="16.5" customHeight="1" x14ac:dyDescent="0.2">
      <c r="A37" s="1371"/>
      <c r="B37" s="1373"/>
      <c r="C37" s="1393"/>
      <c r="D37" s="1725"/>
      <c r="E37" s="1459"/>
      <c r="F37" s="248"/>
      <c r="G37" s="88"/>
      <c r="H37" s="88"/>
      <c r="I37" s="88"/>
      <c r="J37" s="1384"/>
      <c r="K37" s="119"/>
      <c r="L37" s="119"/>
      <c r="M37" s="172"/>
    </row>
    <row r="38" spans="1:16" ht="15" customHeight="1" x14ac:dyDescent="0.2">
      <c r="A38" s="1371"/>
      <c r="B38" s="1373"/>
      <c r="C38" s="1393"/>
      <c r="D38" s="1760" t="s">
        <v>197</v>
      </c>
      <c r="E38" s="1463" t="s">
        <v>450</v>
      </c>
      <c r="F38" s="142"/>
      <c r="G38" s="142"/>
      <c r="H38" s="142"/>
      <c r="I38" s="142"/>
      <c r="J38" s="1383" t="s">
        <v>87</v>
      </c>
      <c r="K38" s="117">
        <v>1</v>
      </c>
      <c r="L38" s="117"/>
      <c r="M38" s="471"/>
    </row>
    <row r="39" spans="1:16" ht="13.5" customHeight="1" x14ac:dyDescent="0.2">
      <c r="A39" s="1371"/>
      <c r="B39" s="1373"/>
      <c r="C39" s="1393"/>
      <c r="D39" s="1760"/>
      <c r="E39" s="1463" t="s">
        <v>388</v>
      </c>
      <c r="F39" s="142"/>
      <c r="G39" s="142"/>
      <c r="H39" s="142"/>
      <c r="I39" s="142"/>
      <c r="J39" s="1758" t="s">
        <v>412</v>
      </c>
      <c r="K39" s="117"/>
      <c r="L39" s="117"/>
      <c r="M39" s="471"/>
    </row>
    <row r="40" spans="1:16" ht="15" customHeight="1" x14ac:dyDescent="0.2">
      <c r="A40" s="1371"/>
      <c r="B40" s="1373"/>
      <c r="C40" s="1393"/>
      <c r="D40" s="1761"/>
      <c r="E40" s="1464" t="s">
        <v>260</v>
      </c>
      <c r="F40" s="143"/>
      <c r="G40" s="88"/>
      <c r="H40" s="88"/>
      <c r="I40" s="88"/>
      <c r="J40" s="1762"/>
      <c r="K40" s="119"/>
      <c r="L40" s="119"/>
      <c r="M40" s="172"/>
    </row>
    <row r="41" spans="1:16" ht="14.25" customHeight="1" x14ac:dyDescent="0.2">
      <c r="A41" s="1371"/>
      <c r="B41" s="1373"/>
      <c r="C41" s="1393"/>
      <c r="D41" s="1679" t="s">
        <v>144</v>
      </c>
      <c r="E41" s="363" t="s">
        <v>450</v>
      </c>
      <c r="F41" s="142"/>
      <c r="G41" s="142"/>
      <c r="H41" s="142"/>
      <c r="I41" s="142"/>
      <c r="J41" s="1383" t="s">
        <v>87</v>
      </c>
      <c r="K41" s="117"/>
      <c r="L41" s="117"/>
      <c r="M41" s="471"/>
    </row>
    <row r="42" spans="1:16" ht="15" customHeight="1" x14ac:dyDescent="0.2">
      <c r="A42" s="1371"/>
      <c r="B42" s="1373"/>
      <c r="C42" s="1393"/>
      <c r="D42" s="1680"/>
      <c r="E42" s="1465" t="s">
        <v>388</v>
      </c>
      <c r="F42" s="142"/>
      <c r="G42" s="142"/>
      <c r="H42" s="142"/>
      <c r="I42" s="142"/>
      <c r="J42" s="1758" t="s">
        <v>413</v>
      </c>
      <c r="K42" s="117">
        <v>70</v>
      </c>
      <c r="L42" s="117">
        <v>100</v>
      </c>
      <c r="M42" s="471"/>
    </row>
    <row r="43" spans="1:16" ht="13.5" customHeight="1" x14ac:dyDescent="0.2">
      <c r="A43" s="1371"/>
      <c r="B43" s="1373"/>
      <c r="C43" s="1393"/>
      <c r="D43" s="1725"/>
      <c r="E43" s="1460" t="s">
        <v>260</v>
      </c>
      <c r="F43" s="143"/>
      <c r="G43" s="88"/>
      <c r="H43" s="88"/>
      <c r="I43" s="88"/>
      <c r="J43" s="1762"/>
      <c r="K43" s="119"/>
      <c r="L43" s="119"/>
      <c r="M43" s="172"/>
    </row>
    <row r="44" spans="1:16" ht="13.5" customHeight="1" x14ac:dyDescent="0.2">
      <c r="A44" s="1371"/>
      <c r="B44" s="1372"/>
      <c r="C44" s="1394"/>
      <c r="D44" s="1679" t="s">
        <v>381</v>
      </c>
      <c r="E44" s="146" t="s">
        <v>450</v>
      </c>
      <c r="F44" s="53"/>
      <c r="G44" s="109"/>
      <c r="H44" s="87"/>
      <c r="I44" s="87"/>
      <c r="J44" s="1751" t="s">
        <v>460</v>
      </c>
      <c r="K44" s="153">
        <v>100</v>
      </c>
      <c r="L44" s="146"/>
      <c r="M44" s="175"/>
      <c r="P44" s="208"/>
    </row>
    <row r="45" spans="1:16" ht="13.5" customHeight="1" x14ac:dyDescent="0.2">
      <c r="A45" s="1371"/>
      <c r="B45" s="1372"/>
      <c r="C45" s="1394"/>
      <c r="D45" s="1680"/>
      <c r="E45" s="223" t="s">
        <v>388</v>
      </c>
      <c r="F45" s="23"/>
      <c r="G45" s="86"/>
      <c r="H45" s="675"/>
      <c r="I45" s="226"/>
      <c r="J45" s="1713"/>
      <c r="K45" s="152"/>
      <c r="L45" s="145"/>
      <c r="M45" s="223"/>
    </row>
    <row r="46" spans="1:16" ht="26.25" customHeight="1" x14ac:dyDescent="0.2">
      <c r="A46" s="1371"/>
      <c r="B46" s="1372"/>
      <c r="C46" s="1394"/>
      <c r="D46" s="1725"/>
      <c r="E46" s="1441"/>
      <c r="F46" s="54"/>
      <c r="G46" s="85"/>
      <c r="H46" s="523"/>
      <c r="I46" s="88"/>
      <c r="J46" s="1095" t="s">
        <v>464</v>
      </c>
      <c r="K46" s="1185"/>
      <c r="L46" s="1044"/>
      <c r="M46" s="1045">
        <v>50</v>
      </c>
    </row>
    <row r="47" spans="1:16" ht="12" customHeight="1" x14ac:dyDescent="0.2">
      <c r="A47" s="1371"/>
      <c r="B47" s="1372"/>
      <c r="C47" s="61"/>
      <c r="D47" s="1679" t="s">
        <v>119</v>
      </c>
      <c r="E47" s="146" t="s">
        <v>450</v>
      </c>
      <c r="F47" s="53"/>
      <c r="G47" s="86"/>
      <c r="H47" s="226"/>
      <c r="I47" s="226"/>
      <c r="J47" s="1711" t="s">
        <v>140</v>
      </c>
      <c r="K47" s="152">
        <v>50</v>
      </c>
      <c r="L47" s="146">
        <v>100</v>
      </c>
      <c r="M47" s="175"/>
    </row>
    <row r="48" spans="1:16" ht="12" customHeight="1" x14ac:dyDescent="0.2">
      <c r="A48" s="1391"/>
      <c r="B48" s="1392"/>
      <c r="C48" s="61"/>
      <c r="D48" s="1680"/>
      <c r="E48" s="223" t="s">
        <v>388</v>
      </c>
      <c r="F48" s="23"/>
      <c r="G48" s="86"/>
      <c r="H48" s="226"/>
      <c r="I48" s="226"/>
      <c r="J48" s="1712"/>
      <c r="K48" s="152"/>
      <c r="L48" s="145"/>
      <c r="M48" s="223"/>
    </row>
    <row r="49" spans="1:16" ht="14.25" customHeight="1" x14ac:dyDescent="0.2">
      <c r="A49" s="1371"/>
      <c r="B49" s="1372"/>
      <c r="C49" s="1393"/>
      <c r="D49" s="1725"/>
      <c r="E49" s="1287" t="s">
        <v>260</v>
      </c>
      <c r="F49" s="248"/>
      <c r="G49" s="523"/>
      <c r="H49" s="88"/>
      <c r="I49" s="88"/>
      <c r="J49" s="1757"/>
      <c r="K49" s="154"/>
      <c r="L49" s="147"/>
      <c r="M49" s="187"/>
      <c r="O49" s="208"/>
      <c r="P49" s="208"/>
    </row>
    <row r="50" spans="1:16" ht="15" customHeight="1" x14ac:dyDescent="0.2">
      <c r="A50" s="1371"/>
      <c r="B50" s="1372"/>
      <c r="C50" s="61"/>
      <c r="D50" s="1728" t="s">
        <v>103</v>
      </c>
      <c r="E50" s="1466"/>
      <c r="F50" s="23"/>
      <c r="G50" s="109"/>
      <c r="H50" s="87"/>
      <c r="I50" s="87"/>
      <c r="J50" s="346" t="s">
        <v>87</v>
      </c>
      <c r="K50" s="152">
        <v>1</v>
      </c>
      <c r="L50" s="145"/>
      <c r="M50" s="223"/>
    </row>
    <row r="51" spans="1:16" ht="24" customHeight="1" x14ac:dyDescent="0.2">
      <c r="A51" s="1371"/>
      <c r="B51" s="1372"/>
      <c r="C51" s="1393"/>
      <c r="D51" s="1699"/>
      <c r="E51" s="223"/>
      <c r="F51" s="248"/>
      <c r="G51" s="85"/>
      <c r="H51" s="88"/>
      <c r="I51" s="88"/>
      <c r="J51" s="126" t="s">
        <v>107</v>
      </c>
      <c r="K51" s="154"/>
      <c r="L51" s="147">
        <v>40</v>
      </c>
      <c r="M51" s="187">
        <v>80</v>
      </c>
    </row>
    <row r="52" spans="1:16" ht="16.5" customHeight="1" x14ac:dyDescent="0.2">
      <c r="A52" s="1371"/>
      <c r="B52" s="1372"/>
      <c r="C52" s="1393"/>
      <c r="D52" s="1680" t="s">
        <v>352</v>
      </c>
      <c r="E52" s="223" t="s">
        <v>450</v>
      </c>
      <c r="F52" s="23"/>
      <c r="G52" s="86"/>
      <c r="H52" s="226"/>
      <c r="I52" s="226"/>
      <c r="J52" s="1745" t="s">
        <v>353</v>
      </c>
      <c r="K52" s="176"/>
      <c r="L52" s="560">
        <v>50</v>
      </c>
      <c r="M52" s="427">
        <v>100</v>
      </c>
    </row>
    <row r="53" spans="1:16" ht="21.75" customHeight="1" x14ac:dyDescent="0.2">
      <c r="A53" s="1371"/>
      <c r="B53" s="1372"/>
      <c r="C53" s="1393"/>
      <c r="D53" s="1714"/>
      <c r="E53" s="1467" t="s">
        <v>260</v>
      </c>
      <c r="F53" s="54"/>
      <c r="G53" s="85"/>
      <c r="H53" s="88"/>
      <c r="I53" s="88"/>
      <c r="J53" s="1746"/>
      <c r="K53" s="392"/>
      <c r="L53" s="561"/>
      <c r="M53" s="484"/>
    </row>
    <row r="54" spans="1:16" ht="18" customHeight="1" x14ac:dyDescent="0.2">
      <c r="A54" s="1371"/>
      <c r="B54" s="1372"/>
      <c r="C54" s="1393"/>
      <c r="D54" s="1680" t="s">
        <v>210</v>
      </c>
      <c r="E54" s="223" t="s">
        <v>388</v>
      </c>
      <c r="F54" s="23"/>
      <c r="G54" s="86"/>
      <c r="H54" s="226"/>
      <c r="I54" s="226"/>
      <c r="J54" s="1745" t="s">
        <v>211</v>
      </c>
      <c r="K54" s="176"/>
      <c r="L54" s="560">
        <v>30</v>
      </c>
      <c r="M54" s="427">
        <v>100</v>
      </c>
    </row>
    <row r="55" spans="1:16" ht="12" customHeight="1" x14ac:dyDescent="0.2">
      <c r="A55" s="1371"/>
      <c r="B55" s="1372"/>
      <c r="C55" s="1393"/>
      <c r="D55" s="1714"/>
      <c r="E55" s="1455"/>
      <c r="F55" s="54"/>
      <c r="G55" s="85"/>
      <c r="H55" s="88"/>
      <c r="I55" s="88"/>
      <c r="J55" s="1746"/>
      <c r="K55" s="392"/>
      <c r="L55" s="561"/>
      <c r="M55" s="484"/>
    </row>
    <row r="56" spans="1:16" ht="14.25" customHeight="1" x14ac:dyDescent="0.2">
      <c r="A56" s="1371"/>
      <c r="B56" s="1372"/>
      <c r="C56" s="1394"/>
      <c r="D56" s="1679" t="s">
        <v>166</v>
      </c>
      <c r="E56" s="1407"/>
      <c r="F56" s="53"/>
      <c r="G56" s="109"/>
      <c r="H56" s="87"/>
      <c r="I56" s="87"/>
      <c r="J56" s="1751" t="s">
        <v>140</v>
      </c>
      <c r="K56" s="153">
        <v>100</v>
      </c>
      <c r="L56" s="146"/>
      <c r="M56" s="175"/>
      <c r="O56" s="208"/>
    </row>
    <row r="57" spans="1:16" ht="12" customHeight="1" x14ac:dyDescent="0.2">
      <c r="A57" s="1371"/>
      <c r="B57" s="1372"/>
      <c r="C57" s="1394"/>
      <c r="D57" s="1725"/>
      <c r="E57" s="1455"/>
      <c r="F57" s="54"/>
      <c r="G57" s="85"/>
      <c r="H57" s="523"/>
      <c r="I57" s="88"/>
      <c r="J57" s="1682"/>
      <c r="K57" s="154"/>
      <c r="L57" s="147"/>
      <c r="M57" s="187"/>
    </row>
    <row r="58" spans="1:16" ht="12.75" customHeight="1" x14ac:dyDescent="0.2">
      <c r="A58" s="1371"/>
      <c r="B58" s="1372"/>
      <c r="C58" s="1394"/>
      <c r="D58" s="1679" t="s">
        <v>176</v>
      </c>
      <c r="E58" s="1407"/>
      <c r="F58" s="53"/>
      <c r="G58" s="109"/>
      <c r="H58" s="87"/>
      <c r="I58" s="87"/>
      <c r="J58" s="346" t="s">
        <v>87</v>
      </c>
      <c r="K58" s="153">
        <v>1</v>
      </c>
      <c r="L58" s="146"/>
      <c r="M58" s="175"/>
    </row>
    <row r="59" spans="1:16" ht="15.75" customHeight="1" x14ac:dyDescent="0.2">
      <c r="A59" s="1371"/>
      <c r="B59" s="1372"/>
      <c r="C59" s="1394"/>
      <c r="D59" s="1725"/>
      <c r="E59" s="1456"/>
      <c r="F59" s="54"/>
      <c r="G59" s="85"/>
      <c r="H59" s="88"/>
      <c r="I59" s="88"/>
      <c r="J59" s="126"/>
      <c r="K59" s="154"/>
      <c r="L59" s="147"/>
      <c r="M59" s="187"/>
    </row>
    <row r="60" spans="1:16" ht="12.75" customHeight="1" x14ac:dyDescent="0.2">
      <c r="A60" s="1371"/>
      <c r="B60" s="1372"/>
      <c r="C60" s="1394"/>
      <c r="D60" s="1766" t="s">
        <v>459</v>
      </c>
      <c r="E60" s="1767"/>
      <c r="F60" s="1442"/>
      <c r="G60" s="736"/>
      <c r="H60" s="736"/>
      <c r="I60" s="736"/>
      <c r="J60" s="1443"/>
      <c r="K60" s="400"/>
      <c r="L60" s="400"/>
      <c r="M60" s="1444"/>
    </row>
    <row r="61" spans="1:16" ht="16.5" customHeight="1" x14ac:dyDescent="0.2">
      <c r="A61" s="1371"/>
      <c r="B61" s="1372"/>
      <c r="C61" s="1393"/>
      <c r="D61" s="1680" t="s">
        <v>99</v>
      </c>
      <c r="E61" s="599"/>
      <c r="F61" s="23"/>
      <c r="G61" s="86"/>
      <c r="H61" s="226"/>
      <c r="I61" s="226"/>
      <c r="J61" s="1445" t="s">
        <v>192</v>
      </c>
      <c r="K61" s="1446">
        <v>3.9</v>
      </c>
      <c r="L61" s="1446">
        <v>3.9</v>
      </c>
      <c r="M61" s="1447">
        <v>3.9</v>
      </c>
    </row>
    <row r="62" spans="1:16" ht="16.5" customHeight="1" x14ac:dyDescent="0.2">
      <c r="A62" s="1371"/>
      <c r="B62" s="1372"/>
      <c r="C62" s="1393"/>
      <c r="D62" s="1680"/>
      <c r="E62" s="599"/>
      <c r="F62" s="23"/>
      <c r="G62" s="86"/>
      <c r="H62" s="226"/>
      <c r="I62" s="226"/>
      <c r="J62" s="1402" t="s">
        <v>257</v>
      </c>
      <c r="K62" s="390">
        <v>357</v>
      </c>
      <c r="L62" s="390">
        <v>357</v>
      </c>
      <c r="M62" s="391">
        <v>357</v>
      </c>
    </row>
    <row r="63" spans="1:16" ht="15" customHeight="1" x14ac:dyDescent="0.2">
      <c r="A63" s="1683"/>
      <c r="B63" s="1684"/>
      <c r="C63" s="1724"/>
      <c r="D63" s="1679" t="s">
        <v>30</v>
      </c>
      <c r="E63" s="1404" t="s">
        <v>450</v>
      </c>
      <c r="F63" s="575"/>
      <c r="G63" s="109"/>
      <c r="H63" s="87"/>
      <c r="I63" s="87"/>
      <c r="J63" s="1406" t="s">
        <v>32</v>
      </c>
      <c r="K63" s="410">
        <v>5</v>
      </c>
      <c r="L63" s="118">
        <v>5</v>
      </c>
      <c r="M63" s="173">
        <v>5</v>
      </c>
    </row>
    <row r="64" spans="1:16" ht="16.5" customHeight="1" x14ac:dyDescent="0.2">
      <c r="A64" s="1683"/>
      <c r="B64" s="1684"/>
      <c r="C64" s="1724"/>
      <c r="D64" s="1680"/>
      <c r="E64" s="1468"/>
      <c r="F64" s="1408"/>
      <c r="G64" s="86"/>
      <c r="H64" s="226"/>
      <c r="I64" s="226"/>
      <c r="J64" s="1403" t="s">
        <v>76</v>
      </c>
      <c r="K64" s="616">
        <v>3</v>
      </c>
      <c r="L64" s="470">
        <v>6</v>
      </c>
      <c r="M64" s="492">
        <v>6</v>
      </c>
    </row>
    <row r="65" spans="1:13" ht="27" customHeight="1" x14ac:dyDescent="0.2">
      <c r="A65" s="1683"/>
      <c r="B65" s="1684"/>
      <c r="C65" s="1724"/>
      <c r="D65" s="1680"/>
      <c r="E65" s="1468"/>
      <c r="F65" s="1408"/>
      <c r="G65" s="86"/>
      <c r="H65" s="226"/>
      <c r="I65" s="226"/>
      <c r="J65" s="30" t="s">
        <v>465</v>
      </c>
      <c r="K65" s="117">
        <v>100</v>
      </c>
      <c r="L65" s="117"/>
      <c r="M65" s="471"/>
    </row>
    <row r="66" spans="1:13" ht="16.5" customHeight="1" x14ac:dyDescent="0.2">
      <c r="A66" s="1683"/>
      <c r="B66" s="1684"/>
      <c r="C66" s="1724"/>
      <c r="D66" s="1680"/>
      <c r="E66" s="1468"/>
      <c r="F66" s="1408"/>
      <c r="G66" s="86"/>
      <c r="H66" s="226"/>
      <c r="I66" s="226"/>
      <c r="J66" s="30" t="s">
        <v>214</v>
      </c>
      <c r="K66" s="472"/>
      <c r="L66" s="904">
        <v>3</v>
      </c>
      <c r="M66" s="496"/>
    </row>
    <row r="67" spans="1:13" ht="25.5" customHeight="1" x14ac:dyDescent="0.2">
      <c r="A67" s="1683"/>
      <c r="B67" s="1684"/>
      <c r="C67" s="1724"/>
      <c r="D67" s="1680"/>
      <c r="E67" s="1468"/>
      <c r="F67" s="1001"/>
      <c r="G67" s="85"/>
      <c r="H67" s="1002"/>
      <c r="I67" s="88"/>
      <c r="J67" s="1469" t="s">
        <v>313</v>
      </c>
      <c r="K67" s="1096">
        <v>1</v>
      </c>
      <c r="L67" s="1470"/>
      <c r="M67" s="1471"/>
    </row>
    <row r="68" spans="1:13" ht="15.75" customHeight="1" x14ac:dyDescent="0.2">
      <c r="A68" s="1371"/>
      <c r="B68" s="1372"/>
      <c r="C68" s="1393"/>
      <c r="D68" s="1679" t="s">
        <v>31</v>
      </c>
      <c r="E68" s="1753"/>
      <c r="F68" s="575"/>
      <c r="G68" s="93"/>
      <c r="H68" s="87"/>
      <c r="I68" s="87"/>
      <c r="J68" s="1472" t="s">
        <v>154</v>
      </c>
      <c r="K68" s="118"/>
      <c r="L68" s="118"/>
      <c r="M68" s="173"/>
    </row>
    <row r="69" spans="1:13" ht="29.25" customHeight="1" x14ac:dyDescent="0.2">
      <c r="A69" s="1371"/>
      <c r="B69" s="1372"/>
      <c r="C69" s="1393"/>
      <c r="D69" s="1703"/>
      <c r="E69" s="1756"/>
      <c r="F69" s="1408"/>
      <c r="G69" s="86"/>
      <c r="H69" s="226"/>
      <c r="I69" s="226"/>
      <c r="J69" s="1433" t="s">
        <v>155</v>
      </c>
      <c r="K69" s="470">
        <v>44</v>
      </c>
      <c r="L69" s="470">
        <v>44</v>
      </c>
      <c r="M69" s="492">
        <v>44</v>
      </c>
    </row>
    <row r="70" spans="1:13" ht="25.5" customHeight="1" x14ac:dyDescent="0.2">
      <c r="A70" s="1371"/>
      <c r="B70" s="1372"/>
      <c r="C70" s="1393"/>
      <c r="D70" s="1703"/>
      <c r="E70" s="1756"/>
      <c r="F70" s="1408"/>
      <c r="G70" s="86"/>
      <c r="H70" s="226"/>
      <c r="I70" s="226"/>
      <c r="J70" s="1388" t="s">
        <v>136</v>
      </c>
      <c r="K70" s="470">
        <v>49</v>
      </c>
      <c r="L70" s="470">
        <v>49</v>
      </c>
      <c r="M70" s="492">
        <v>49</v>
      </c>
    </row>
    <row r="71" spans="1:13" ht="15" customHeight="1" x14ac:dyDescent="0.2">
      <c r="A71" s="1371"/>
      <c r="B71" s="1372"/>
      <c r="C71" s="1393"/>
      <c r="D71" s="1703"/>
      <c r="E71" s="1756"/>
      <c r="F71" s="1408"/>
      <c r="G71" s="86"/>
      <c r="H71" s="226"/>
      <c r="I71" s="226"/>
      <c r="J71" s="595" t="s">
        <v>156</v>
      </c>
      <c r="K71" s="417"/>
      <c r="L71" s="417"/>
      <c r="M71" s="285"/>
    </row>
    <row r="72" spans="1:13" ht="13.5" customHeight="1" x14ac:dyDescent="0.2">
      <c r="A72" s="1371"/>
      <c r="B72" s="1372"/>
      <c r="C72" s="1393"/>
      <c r="D72" s="167"/>
      <c r="E72" s="1756"/>
      <c r="F72" s="1408"/>
      <c r="G72" s="86"/>
      <c r="H72" s="226"/>
      <c r="I72" s="226"/>
      <c r="J72" s="1405" t="s">
        <v>96</v>
      </c>
      <c r="K72" s="117">
        <v>58</v>
      </c>
      <c r="L72" s="117">
        <v>58</v>
      </c>
      <c r="M72" s="471">
        <v>58</v>
      </c>
    </row>
    <row r="73" spans="1:13" ht="13.5" customHeight="1" x14ac:dyDescent="0.2">
      <c r="A73" s="1371"/>
      <c r="B73" s="1372"/>
      <c r="C73" s="1393"/>
      <c r="D73" s="167"/>
      <c r="E73" s="1756"/>
      <c r="F73" s="1408"/>
      <c r="G73" s="86"/>
      <c r="H73" s="226"/>
      <c r="I73" s="226"/>
      <c r="J73" s="1400" t="s">
        <v>33</v>
      </c>
      <c r="K73" s="222" t="s">
        <v>354</v>
      </c>
      <c r="L73" s="222" t="s">
        <v>354</v>
      </c>
      <c r="M73" s="286" t="s">
        <v>354</v>
      </c>
    </row>
    <row r="74" spans="1:13" ht="13.5" customHeight="1" x14ac:dyDescent="0.2">
      <c r="A74" s="1371"/>
      <c r="B74" s="1372"/>
      <c r="C74" s="1393"/>
      <c r="D74" s="167"/>
      <c r="E74" s="1756"/>
      <c r="F74" s="1408"/>
      <c r="G74" s="86"/>
      <c r="H74" s="226"/>
      <c r="I74" s="226"/>
      <c r="J74" s="1400" t="s">
        <v>75</v>
      </c>
      <c r="K74" s="222" t="s">
        <v>355</v>
      </c>
      <c r="L74" s="222" t="s">
        <v>355</v>
      </c>
      <c r="M74" s="286" t="s">
        <v>355</v>
      </c>
    </row>
    <row r="75" spans="1:13" ht="13.5" customHeight="1" x14ac:dyDescent="0.2">
      <c r="A75" s="1371"/>
      <c r="B75" s="1372"/>
      <c r="C75" s="1393"/>
      <c r="D75" s="167"/>
      <c r="E75" s="1756"/>
      <c r="F75" s="1408"/>
      <c r="G75" s="86"/>
      <c r="H75" s="226"/>
      <c r="I75" s="226"/>
      <c r="J75" s="1400" t="s">
        <v>216</v>
      </c>
      <c r="K75" s="222" t="s">
        <v>356</v>
      </c>
      <c r="L75" s="222" t="s">
        <v>356</v>
      </c>
      <c r="M75" s="286" t="s">
        <v>356</v>
      </c>
    </row>
    <row r="76" spans="1:13" ht="13.5" customHeight="1" x14ac:dyDescent="0.2">
      <c r="A76" s="1371"/>
      <c r="B76" s="1372"/>
      <c r="C76" s="1393"/>
      <c r="D76" s="167"/>
      <c r="E76" s="1756"/>
      <c r="F76" s="1408"/>
      <c r="G76" s="86"/>
      <c r="H76" s="226"/>
      <c r="I76" s="226"/>
      <c r="J76" s="1159" t="s">
        <v>204</v>
      </c>
      <c r="K76" s="222" t="s">
        <v>200</v>
      </c>
      <c r="L76" s="222" t="s">
        <v>200</v>
      </c>
      <c r="M76" s="286" t="s">
        <v>200</v>
      </c>
    </row>
    <row r="77" spans="1:13" ht="13.5" customHeight="1" x14ac:dyDescent="0.2">
      <c r="A77" s="1371"/>
      <c r="B77" s="1372"/>
      <c r="C77" s="1393"/>
      <c r="D77" s="167"/>
      <c r="E77" s="1756"/>
      <c r="F77" s="1408"/>
      <c r="G77" s="86"/>
      <c r="H77" s="226"/>
      <c r="I77" s="226"/>
      <c r="J77" s="1400" t="s">
        <v>217</v>
      </c>
      <c r="K77" s="222" t="s">
        <v>218</v>
      </c>
      <c r="L77" s="222" t="s">
        <v>218</v>
      </c>
      <c r="M77" s="286" t="s">
        <v>218</v>
      </c>
    </row>
    <row r="78" spans="1:13" ht="14.25" customHeight="1" x14ac:dyDescent="0.2">
      <c r="A78" s="1371"/>
      <c r="B78" s="1372"/>
      <c r="C78" s="1393"/>
      <c r="D78" s="167"/>
      <c r="E78" s="1756"/>
      <c r="F78" s="1408"/>
      <c r="G78" s="86"/>
      <c r="H78" s="226"/>
      <c r="I78" s="226"/>
      <c r="J78" s="595" t="s">
        <v>157</v>
      </c>
      <c r="K78" s="417"/>
      <c r="L78" s="417"/>
      <c r="M78" s="285"/>
    </row>
    <row r="79" spans="1:13" ht="12" customHeight="1" x14ac:dyDescent="0.2">
      <c r="A79" s="1371"/>
      <c r="B79" s="1372"/>
      <c r="C79" s="1393"/>
      <c r="D79" s="167"/>
      <c r="E79" s="1756"/>
      <c r="F79" s="1408"/>
      <c r="G79" s="86"/>
      <c r="H79" s="226"/>
      <c r="I79" s="226"/>
      <c r="J79" s="1399" t="s">
        <v>138</v>
      </c>
      <c r="K79" s="332">
        <v>10</v>
      </c>
      <c r="L79" s="332">
        <v>10</v>
      </c>
      <c r="M79" s="289">
        <v>10</v>
      </c>
    </row>
    <row r="80" spans="1:13" ht="13.5" customHeight="1" x14ac:dyDescent="0.2">
      <c r="A80" s="1371"/>
      <c r="B80" s="1372"/>
      <c r="C80" s="1393"/>
      <c r="D80" s="167"/>
      <c r="E80" s="1756"/>
      <c r="F80" s="1408"/>
      <c r="G80" s="86"/>
      <c r="H80" s="226"/>
      <c r="I80" s="226"/>
      <c r="J80" s="701" t="s">
        <v>137</v>
      </c>
      <c r="K80" s="257" t="s">
        <v>122</v>
      </c>
      <c r="L80" s="257" t="s">
        <v>122</v>
      </c>
      <c r="M80" s="166" t="s">
        <v>122</v>
      </c>
    </row>
    <row r="81" spans="1:19" ht="15" customHeight="1" x14ac:dyDescent="0.2">
      <c r="A81" s="1371"/>
      <c r="B81" s="1372"/>
      <c r="C81" s="1393"/>
      <c r="D81" s="167"/>
      <c r="E81" s="1756"/>
      <c r="F81" s="1408"/>
      <c r="G81" s="86"/>
      <c r="H81" s="226"/>
      <c r="I81" s="226"/>
      <c r="J81" s="287" t="s">
        <v>158</v>
      </c>
      <c r="K81" s="332"/>
      <c r="L81" s="332"/>
      <c r="M81" s="289"/>
    </row>
    <row r="82" spans="1:19" ht="25.5" customHeight="1" x14ac:dyDescent="0.2">
      <c r="A82" s="1371"/>
      <c r="B82" s="1372"/>
      <c r="C82" s="1393"/>
      <c r="D82" s="167"/>
      <c r="E82" s="1756"/>
      <c r="F82" s="1408"/>
      <c r="G82" s="86"/>
      <c r="H82" s="226"/>
      <c r="I82" s="226"/>
      <c r="J82" s="701" t="s">
        <v>277</v>
      </c>
      <c r="K82" s="1318">
        <v>180</v>
      </c>
      <c r="L82" s="1318">
        <v>150</v>
      </c>
      <c r="M82" s="1320">
        <v>150</v>
      </c>
    </row>
    <row r="83" spans="1:19" ht="27.75" customHeight="1" x14ac:dyDescent="0.2">
      <c r="A83" s="1371"/>
      <c r="B83" s="1372"/>
      <c r="C83" s="1393"/>
      <c r="D83" s="167"/>
      <c r="E83" s="1756"/>
      <c r="F83" s="1408"/>
      <c r="G83" s="86"/>
      <c r="H83" s="226"/>
      <c r="I83" s="226"/>
      <c r="J83" s="41" t="s">
        <v>278</v>
      </c>
      <c r="K83" s="650">
        <v>0.7</v>
      </c>
      <c r="L83" s="650">
        <v>0.6</v>
      </c>
      <c r="M83" s="651">
        <v>0.6</v>
      </c>
    </row>
    <row r="84" spans="1:19" ht="25.5" customHeight="1" x14ac:dyDescent="0.2">
      <c r="A84" s="1371"/>
      <c r="B84" s="1372"/>
      <c r="C84" s="1393"/>
      <c r="D84" s="168"/>
      <c r="E84" s="1754"/>
      <c r="F84" s="248"/>
      <c r="G84" s="85"/>
      <c r="H84" s="88"/>
      <c r="I84" s="88"/>
      <c r="J84" s="194" t="s">
        <v>183</v>
      </c>
      <c r="K84" s="1086">
        <v>1</v>
      </c>
      <c r="L84" s="1086" t="s">
        <v>357</v>
      </c>
      <c r="M84" s="1473"/>
    </row>
    <row r="85" spans="1:19" ht="14.25" customHeight="1" x14ac:dyDescent="0.2">
      <c r="A85" s="1683"/>
      <c r="B85" s="1732"/>
      <c r="C85" s="1724"/>
      <c r="D85" s="1679" t="s">
        <v>299</v>
      </c>
      <c r="E85" s="1726"/>
      <c r="F85" s="1240"/>
      <c r="G85" s="93"/>
      <c r="H85" s="93"/>
      <c r="I85" s="93"/>
      <c r="J85" s="1406" t="s">
        <v>112</v>
      </c>
      <c r="K85" s="410">
        <v>154</v>
      </c>
      <c r="L85" s="118">
        <v>154</v>
      </c>
      <c r="M85" s="173">
        <v>154</v>
      </c>
    </row>
    <row r="86" spans="1:19" ht="16.5" customHeight="1" x14ac:dyDescent="0.2">
      <c r="A86" s="1683"/>
      <c r="B86" s="1732"/>
      <c r="C86" s="1724"/>
      <c r="D86" s="1725"/>
      <c r="E86" s="1727"/>
      <c r="F86" s="365"/>
      <c r="G86" s="88"/>
      <c r="H86" s="88"/>
      <c r="I86" s="88"/>
      <c r="J86" s="1241" t="s">
        <v>317</v>
      </c>
      <c r="K86" s="399">
        <v>1</v>
      </c>
      <c r="L86" s="119"/>
      <c r="M86" s="172"/>
    </row>
    <row r="87" spans="1:19" ht="15.75" customHeight="1" x14ac:dyDescent="0.2">
      <c r="A87" s="1683"/>
      <c r="B87" s="1732"/>
      <c r="C87" s="1724"/>
      <c r="D87" s="1680" t="s">
        <v>251</v>
      </c>
      <c r="E87" s="1753"/>
      <c r="F87" s="1240"/>
      <c r="G87" s="87"/>
      <c r="H87" s="87"/>
      <c r="I87" s="87"/>
      <c r="J87" s="1751" t="s">
        <v>252</v>
      </c>
      <c r="K87" s="410">
        <v>2</v>
      </c>
      <c r="L87" s="118">
        <v>2</v>
      </c>
      <c r="M87" s="173">
        <v>2</v>
      </c>
    </row>
    <row r="88" spans="1:19" ht="24" customHeight="1" x14ac:dyDescent="0.2">
      <c r="A88" s="1683"/>
      <c r="B88" s="1732"/>
      <c r="C88" s="1724"/>
      <c r="D88" s="1680"/>
      <c r="E88" s="1754"/>
      <c r="F88" s="365"/>
      <c r="G88" s="88"/>
      <c r="H88" s="88"/>
      <c r="I88" s="88"/>
      <c r="J88" s="1752"/>
      <c r="K88" s="399"/>
      <c r="L88" s="119"/>
      <c r="M88" s="172"/>
    </row>
    <row r="89" spans="1:19" ht="13.5" customHeight="1" x14ac:dyDescent="0.2">
      <c r="A89" s="1371"/>
      <c r="B89" s="1373"/>
      <c r="C89" s="1393"/>
      <c r="D89" s="1679" t="s">
        <v>208</v>
      </c>
      <c r="E89" s="1467" t="s">
        <v>260</v>
      </c>
      <c r="F89" s="575"/>
      <c r="G89" s="87"/>
      <c r="H89" s="87"/>
      <c r="I89" s="87"/>
      <c r="J89" s="1386" t="s">
        <v>87</v>
      </c>
      <c r="K89" s="118"/>
      <c r="L89" s="118">
        <v>1</v>
      </c>
      <c r="M89" s="173"/>
    </row>
    <row r="90" spans="1:19" ht="14.25" customHeight="1" x14ac:dyDescent="0.2">
      <c r="A90" s="1371"/>
      <c r="B90" s="1373"/>
      <c r="C90" s="1393"/>
      <c r="D90" s="1680"/>
      <c r="E90" s="1467" t="s">
        <v>450</v>
      </c>
      <c r="F90" s="1408"/>
      <c r="G90" s="226"/>
      <c r="H90" s="226"/>
      <c r="I90" s="226"/>
      <c r="J90" s="1399" t="s">
        <v>209</v>
      </c>
      <c r="K90" s="117"/>
      <c r="L90" s="117"/>
      <c r="M90" s="471">
        <v>1</v>
      </c>
    </row>
    <row r="91" spans="1:19" ht="12" customHeight="1" x14ac:dyDescent="0.2">
      <c r="A91" s="1371"/>
      <c r="B91" s="1373"/>
      <c r="C91" s="1393"/>
      <c r="D91" s="1725"/>
      <c r="E91" s="1477"/>
      <c r="F91" s="248"/>
      <c r="G91" s="88"/>
      <c r="H91" s="88"/>
      <c r="I91" s="88"/>
      <c r="J91" s="1387"/>
      <c r="K91" s="119"/>
      <c r="L91" s="119"/>
      <c r="M91" s="172"/>
    </row>
    <row r="92" spans="1:19" ht="14.25" customHeight="1" x14ac:dyDescent="0.2">
      <c r="A92" s="1683"/>
      <c r="B92" s="1732"/>
      <c r="C92" s="1724"/>
      <c r="D92" s="1680" t="s">
        <v>454</v>
      </c>
      <c r="E92" s="1726"/>
      <c r="F92" s="1240"/>
      <c r="G92" s="93"/>
      <c r="H92" s="93"/>
      <c r="I92" s="93"/>
      <c r="J92" s="1751" t="s">
        <v>455</v>
      </c>
      <c r="K92" s="410">
        <v>100</v>
      </c>
      <c r="L92" s="118"/>
      <c r="M92" s="173"/>
    </row>
    <row r="93" spans="1:19" ht="16.5" customHeight="1" x14ac:dyDescent="0.2">
      <c r="A93" s="1683"/>
      <c r="B93" s="1732"/>
      <c r="C93" s="1724"/>
      <c r="D93" s="1680"/>
      <c r="E93" s="1727"/>
      <c r="F93" s="365"/>
      <c r="G93" s="88"/>
      <c r="H93" s="88"/>
      <c r="I93" s="88"/>
      <c r="J93" s="1755"/>
      <c r="K93" s="399"/>
      <c r="L93" s="119"/>
      <c r="M93" s="172"/>
    </row>
    <row r="94" spans="1:19" ht="13.5" customHeight="1" x14ac:dyDescent="0.2">
      <c r="A94" s="1371"/>
      <c r="B94" s="1373"/>
      <c r="C94" s="1393"/>
      <c r="D94" s="1749" t="s">
        <v>54</v>
      </c>
      <c r="E94" s="1750"/>
      <c r="F94" s="1750"/>
      <c r="G94" s="1448"/>
      <c r="H94" s="1449"/>
      <c r="I94" s="1450"/>
      <c r="J94" s="1451"/>
      <c r="K94" s="1452"/>
      <c r="L94" s="1452"/>
      <c r="M94" s="1453"/>
      <c r="O94" s="208"/>
      <c r="P94" s="208"/>
      <c r="Q94" s="208"/>
      <c r="R94" s="208"/>
      <c r="S94" s="208"/>
    </row>
    <row r="95" spans="1:19" ht="27" customHeight="1" x14ac:dyDescent="0.2">
      <c r="A95" s="1371"/>
      <c r="B95" s="1373"/>
      <c r="C95" s="1393"/>
      <c r="D95" s="1679" t="s">
        <v>105</v>
      </c>
      <c r="E95" s="666"/>
      <c r="F95" s="575"/>
      <c r="G95" s="132"/>
      <c r="H95" s="132"/>
      <c r="I95" s="132"/>
      <c r="J95" s="1745" t="s">
        <v>467</v>
      </c>
      <c r="K95" s="176">
        <v>1</v>
      </c>
      <c r="L95" s="560">
        <v>1</v>
      </c>
      <c r="M95" s="427">
        <v>1</v>
      </c>
    </row>
    <row r="96" spans="1:19" ht="11.25" customHeight="1" x14ac:dyDescent="0.2">
      <c r="A96" s="1371"/>
      <c r="B96" s="1373"/>
      <c r="C96" s="1394"/>
      <c r="D96" s="1725"/>
      <c r="E96" s="1390"/>
      <c r="F96" s="248"/>
      <c r="G96" s="131"/>
      <c r="H96" s="131"/>
      <c r="I96" s="131"/>
      <c r="J96" s="1746"/>
      <c r="K96" s="65"/>
      <c r="L96" s="119"/>
      <c r="M96" s="172"/>
    </row>
    <row r="97" spans="1:13" ht="12.75" customHeight="1" x14ac:dyDescent="0.2">
      <c r="A97" s="1371"/>
      <c r="B97" s="1373"/>
      <c r="C97" s="1394"/>
      <c r="D97" s="1679" t="s">
        <v>79</v>
      </c>
      <c r="E97" s="1480" t="s">
        <v>450</v>
      </c>
      <c r="F97" s="575"/>
      <c r="G97" s="133"/>
      <c r="H97" s="133"/>
      <c r="I97" s="133"/>
      <c r="J97" s="1475" t="s">
        <v>110</v>
      </c>
      <c r="K97" s="297">
        <v>22.5</v>
      </c>
      <c r="L97" s="721">
        <v>22.5</v>
      </c>
      <c r="M97" s="611">
        <v>22.5</v>
      </c>
    </row>
    <row r="98" spans="1:13" ht="12.75" customHeight="1" x14ac:dyDescent="0.2">
      <c r="A98" s="1371"/>
      <c r="B98" s="1373"/>
      <c r="C98" s="1454"/>
      <c r="D98" s="1680"/>
      <c r="E98" s="1474" t="s">
        <v>260</v>
      </c>
      <c r="F98" s="1408"/>
      <c r="G98" s="569"/>
      <c r="H98" s="569"/>
      <c r="I98" s="569"/>
      <c r="J98" s="1476" t="s">
        <v>111</v>
      </c>
      <c r="K98" s="298">
        <v>108</v>
      </c>
      <c r="L98" s="907">
        <v>108</v>
      </c>
      <c r="M98" s="422">
        <v>108</v>
      </c>
    </row>
    <row r="99" spans="1:13" ht="12.75" customHeight="1" x14ac:dyDescent="0.2">
      <c r="A99" s="1371"/>
      <c r="B99" s="1372"/>
      <c r="C99" s="1454"/>
      <c r="D99" s="1680"/>
      <c r="E99" s="1479"/>
      <c r="F99" s="1408"/>
      <c r="G99" s="569"/>
      <c r="H99" s="569"/>
      <c r="I99" s="569"/>
      <c r="J99" s="1027" t="s">
        <v>109</v>
      </c>
      <c r="K99" s="301">
        <v>5</v>
      </c>
      <c r="L99" s="908">
        <v>5</v>
      </c>
      <c r="M99" s="490">
        <v>5</v>
      </c>
    </row>
    <row r="100" spans="1:13" ht="15" customHeight="1" x14ac:dyDescent="0.2">
      <c r="A100" s="1371"/>
      <c r="B100" s="1373"/>
      <c r="C100" s="1454"/>
      <c r="D100" s="1680"/>
      <c r="E100" s="1478"/>
      <c r="F100" s="1408"/>
      <c r="G100" s="569"/>
      <c r="H100" s="569"/>
      <c r="I100" s="569"/>
      <c r="J100" s="346" t="s">
        <v>160</v>
      </c>
      <c r="K100" s="299" t="s">
        <v>365</v>
      </c>
      <c r="L100" s="299" t="s">
        <v>365</v>
      </c>
      <c r="M100" s="428" t="s">
        <v>365</v>
      </c>
    </row>
    <row r="101" spans="1:13" ht="15.75" customHeight="1" x14ac:dyDescent="0.2">
      <c r="A101" s="1371"/>
      <c r="B101" s="1373"/>
      <c r="C101" s="1454"/>
      <c r="D101" s="1680"/>
      <c r="E101" s="1478"/>
      <c r="F101" s="1408"/>
      <c r="G101" s="569"/>
      <c r="H101" s="569"/>
      <c r="I101" s="569"/>
      <c r="J101" s="1027" t="s">
        <v>159</v>
      </c>
      <c r="K101" s="301" t="s">
        <v>152</v>
      </c>
      <c r="L101" s="908" t="s">
        <v>152</v>
      </c>
      <c r="M101" s="490" t="s">
        <v>152</v>
      </c>
    </row>
    <row r="102" spans="1:13" ht="15" customHeight="1" x14ac:dyDescent="0.2">
      <c r="A102" s="1371"/>
      <c r="B102" s="1373"/>
      <c r="C102" s="1454"/>
      <c r="D102" s="1680"/>
      <c r="E102" s="1478"/>
      <c r="F102" s="1408"/>
      <c r="G102" s="569"/>
      <c r="H102" s="569"/>
      <c r="I102" s="569"/>
      <c r="J102" s="1742" t="s">
        <v>468</v>
      </c>
      <c r="K102" s="31">
        <v>1</v>
      </c>
      <c r="L102" s="222">
        <v>1</v>
      </c>
      <c r="M102" s="286">
        <v>1</v>
      </c>
    </row>
    <row r="103" spans="1:13" ht="12.75" customHeight="1" x14ac:dyDescent="0.2">
      <c r="A103" s="1371"/>
      <c r="B103" s="1373"/>
      <c r="C103" s="1454"/>
      <c r="D103" s="345"/>
      <c r="E103" s="1478"/>
      <c r="F103" s="1408"/>
      <c r="G103" s="569"/>
      <c r="H103" s="569"/>
      <c r="I103" s="569"/>
      <c r="J103" s="1742"/>
      <c r="K103" s="249"/>
      <c r="L103" s="648"/>
      <c r="M103" s="420"/>
    </row>
    <row r="104" spans="1:13" ht="29.25" customHeight="1" x14ac:dyDescent="0.2">
      <c r="A104" s="1371"/>
      <c r="B104" s="1373"/>
      <c r="C104" s="1454"/>
      <c r="D104" s="559" t="s">
        <v>244</v>
      </c>
      <c r="E104" s="1481" t="s">
        <v>388</v>
      </c>
      <c r="F104" s="179"/>
      <c r="G104" s="1482"/>
      <c r="H104" s="1482"/>
      <c r="I104" s="1482"/>
      <c r="J104" s="1483" t="s">
        <v>222</v>
      </c>
      <c r="K104" s="316">
        <v>1</v>
      </c>
      <c r="L104" s="705"/>
      <c r="M104" s="1484"/>
    </row>
    <row r="105" spans="1:13" ht="30" customHeight="1" x14ac:dyDescent="0.2">
      <c r="A105" s="1371"/>
      <c r="B105" s="1373"/>
      <c r="C105" s="1454"/>
      <c r="D105" s="1680"/>
      <c r="E105" s="612"/>
      <c r="F105" s="1408"/>
      <c r="G105" s="569"/>
      <c r="H105" s="569"/>
      <c r="I105" s="569"/>
      <c r="J105" s="1742" t="s">
        <v>400</v>
      </c>
      <c r="K105" s="31" t="s">
        <v>402</v>
      </c>
      <c r="L105" s="222" t="s">
        <v>27</v>
      </c>
      <c r="M105" s="286" t="s">
        <v>401</v>
      </c>
    </row>
    <row r="106" spans="1:13" ht="57.75" customHeight="1" x14ac:dyDescent="0.2">
      <c r="A106" s="1371"/>
      <c r="B106" s="1373"/>
      <c r="C106" s="1454"/>
      <c r="D106" s="1739"/>
      <c r="E106" s="1389"/>
      <c r="F106" s="1408"/>
      <c r="G106" s="569"/>
      <c r="H106" s="569"/>
      <c r="I106" s="569"/>
      <c r="J106" s="1694"/>
      <c r="K106" s="1308"/>
      <c r="L106" s="470"/>
      <c r="M106" s="492"/>
    </row>
    <row r="107" spans="1:13" ht="28.5" customHeight="1" x14ac:dyDescent="0.2">
      <c r="A107" s="1371"/>
      <c r="B107" s="1373"/>
      <c r="C107" s="1454"/>
      <c r="D107" s="1397"/>
      <c r="E107" s="1390"/>
      <c r="F107" s="248"/>
      <c r="G107" s="131"/>
      <c r="H107" s="131"/>
      <c r="I107" s="131"/>
      <c r="J107" s="194" t="s">
        <v>424</v>
      </c>
      <c r="K107" s="399">
        <v>100</v>
      </c>
      <c r="L107" s="119"/>
      <c r="M107" s="172"/>
    </row>
    <row r="108" spans="1:13" ht="15.75" customHeight="1" x14ac:dyDescent="0.2">
      <c r="A108" s="1683"/>
      <c r="B108" s="1684"/>
      <c r="C108" s="1454"/>
      <c r="D108" s="1679" t="s">
        <v>201</v>
      </c>
      <c r="E108" s="1743"/>
      <c r="F108" s="575"/>
      <c r="G108" s="132"/>
      <c r="H108" s="569"/>
      <c r="I108" s="569"/>
      <c r="J108" s="1395" t="s">
        <v>130</v>
      </c>
      <c r="K108" s="691">
        <v>2</v>
      </c>
      <c r="L108" s="117">
        <v>2</v>
      </c>
      <c r="M108" s="471">
        <v>2</v>
      </c>
    </row>
    <row r="109" spans="1:13" ht="21.75" customHeight="1" x14ac:dyDescent="0.2">
      <c r="A109" s="1683"/>
      <c r="B109" s="1684"/>
      <c r="C109" s="1454"/>
      <c r="D109" s="1725"/>
      <c r="E109" s="1744"/>
      <c r="F109" s="248"/>
      <c r="G109" s="131"/>
      <c r="H109" s="569"/>
      <c r="I109" s="569"/>
      <c r="J109" s="1395" t="s">
        <v>111</v>
      </c>
      <c r="K109" s="691">
        <v>5</v>
      </c>
      <c r="L109" s="117">
        <v>5</v>
      </c>
      <c r="M109" s="471">
        <v>5</v>
      </c>
    </row>
    <row r="110" spans="1:13" ht="15" customHeight="1" x14ac:dyDescent="0.2">
      <c r="A110" s="1371"/>
      <c r="B110" s="1373"/>
      <c r="C110" s="1454"/>
      <c r="D110" s="1680" t="s">
        <v>62</v>
      </c>
      <c r="E110" s="1389"/>
      <c r="F110" s="1408"/>
      <c r="G110" s="569"/>
      <c r="H110" s="132"/>
      <c r="I110" s="132"/>
      <c r="J110" s="1406" t="s">
        <v>110</v>
      </c>
      <c r="K110" s="770">
        <v>2</v>
      </c>
      <c r="L110" s="118">
        <v>2</v>
      </c>
      <c r="M110" s="173">
        <v>2</v>
      </c>
    </row>
    <row r="111" spans="1:13" ht="10.5" customHeight="1" x14ac:dyDescent="0.2">
      <c r="A111" s="1371"/>
      <c r="B111" s="1373"/>
      <c r="C111" s="1394"/>
      <c r="D111" s="1725"/>
      <c r="E111" s="1390"/>
      <c r="F111" s="248"/>
      <c r="G111" s="131"/>
      <c r="H111" s="131"/>
      <c r="I111" s="131"/>
      <c r="J111" s="1396"/>
      <c r="K111" s="771"/>
      <c r="L111" s="117"/>
      <c r="M111" s="172"/>
    </row>
    <row r="112" spans="1:13" ht="42" customHeight="1" x14ac:dyDescent="0.2">
      <c r="A112" s="1371"/>
      <c r="B112" s="1373"/>
      <c r="C112" s="1394"/>
      <c r="D112" s="1604" t="s">
        <v>364</v>
      </c>
      <c r="E112" s="167" t="s">
        <v>450</v>
      </c>
      <c r="F112" s="1486"/>
      <c r="G112" s="132"/>
      <c r="H112" s="87"/>
      <c r="I112" s="87"/>
      <c r="J112" s="1025" t="s">
        <v>362</v>
      </c>
      <c r="K112" s="402">
        <v>5</v>
      </c>
      <c r="L112" s="1301"/>
      <c r="M112" s="486"/>
    </row>
    <row r="113" spans="1:20" ht="28.5" customHeight="1" x14ac:dyDescent="0.2">
      <c r="A113" s="1371"/>
      <c r="B113" s="1373"/>
      <c r="C113" s="1393"/>
      <c r="D113" s="1398"/>
      <c r="E113" s="1463"/>
      <c r="F113" s="1408"/>
      <c r="G113" s="675"/>
      <c r="H113" s="226"/>
      <c r="I113" s="226"/>
      <c r="J113" s="867" t="s">
        <v>470</v>
      </c>
      <c r="K113" s="174">
        <v>1</v>
      </c>
      <c r="L113" s="526"/>
      <c r="M113" s="491"/>
    </row>
    <row r="114" spans="1:20" ht="53.25" customHeight="1" x14ac:dyDescent="0.2">
      <c r="A114" s="1371"/>
      <c r="B114" s="1373"/>
      <c r="C114" s="1394"/>
      <c r="D114" s="1385"/>
      <c r="E114" s="1485"/>
      <c r="F114" s="23"/>
      <c r="G114" s="569"/>
      <c r="H114" s="569"/>
      <c r="I114" s="569"/>
      <c r="J114" s="701" t="s">
        <v>363</v>
      </c>
      <c r="K114" s="403">
        <v>1</v>
      </c>
      <c r="L114" s="719"/>
      <c r="M114" s="488"/>
    </row>
    <row r="115" spans="1:20" ht="53.25" customHeight="1" x14ac:dyDescent="0.2">
      <c r="A115" s="1371"/>
      <c r="B115" s="1373"/>
      <c r="C115" s="1394"/>
      <c r="D115" s="247" t="s">
        <v>366</v>
      </c>
      <c r="E115" s="1488" t="s">
        <v>450</v>
      </c>
      <c r="F115" s="1489"/>
      <c r="G115" s="90"/>
      <c r="H115" s="740"/>
      <c r="I115" s="740"/>
      <c r="J115" s="1490" t="s">
        <v>471</v>
      </c>
      <c r="K115" s="1491"/>
      <c r="L115" s="1492"/>
      <c r="M115" s="1493">
        <v>100</v>
      </c>
    </row>
    <row r="116" spans="1:20" ht="31.5" customHeight="1" x14ac:dyDescent="0.2">
      <c r="A116" s="1371"/>
      <c r="B116" s="1373"/>
      <c r="C116" s="1394"/>
      <c r="D116" s="1385" t="s">
        <v>393</v>
      </c>
      <c r="E116" s="1494"/>
      <c r="F116" s="54"/>
      <c r="G116" s="131"/>
      <c r="H116" s="581"/>
      <c r="I116" s="581"/>
      <c r="J116" s="1399" t="s">
        <v>472</v>
      </c>
      <c r="K116" s="396">
        <v>1</v>
      </c>
      <c r="L116" s="1497"/>
      <c r="M116" s="1498"/>
    </row>
    <row r="117" spans="1:20" ht="16.5" customHeight="1" thickBot="1" x14ac:dyDescent="0.25">
      <c r="A117" s="26"/>
      <c r="B117" s="1377"/>
      <c r="C117" s="1487"/>
      <c r="D117" s="1495"/>
      <c r="E117" s="1496"/>
      <c r="F117" s="22" t="s">
        <v>6</v>
      </c>
      <c r="G117" s="155">
        <f>SUM(G17:G116)</f>
        <v>8038.6</v>
      </c>
      <c r="H117" s="155">
        <f>SUM(H17:H116)</f>
        <v>12820.8</v>
      </c>
      <c r="I117" s="155">
        <f>SUM(I17:I116)</f>
        <v>14154.5</v>
      </c>
      <c r="J117" s="1499"/>
      <c r="K117" s="1500"/>
      <c r="L117" s="1500"/>
      <c r="M117" s="161"/>
    </row>
    <row r="118" spans="1:20" ht="12" customHeight="1" x14ac:dyDescent="0.2">
      <c r="A118" s="1371" t="s">
        <v>5</v>
      </c>
      <c r="B118" s="1373" t="s">
        <v>5</v>
      </c>
      <c r="C118" s="1422" t="s">
        <v>7</v>
      </c>
      <c r="D118" s="1665" t="s">
        <v>53</v>
      </c>
      <c r="E118" s="1747"/>
      <c r="F118" s="159" t="s">
        <v>24</v>
      </c>
      <c r="G118" s="111">
        <v>3574.4</v>
      </c>
      <c r="H118" s="111">
        <v>3654.9</v>
      </c>
      <c r="I118" s="111">
        <v>3514.9</v>
      </c>
      <c r="J118" s="1502"/>
      <c r="K118" s="776"/>
      <c r="L118" s="778"/>
      <c r="M118" s="1501"/>
      <c r="P118" s="208"/>
      <c r="Q118" s="208"/>
      <c r="R118" s="208"/>
      <c r="S118" s="208"/>
      <c r="T118" s="208"/>
    </row>
    <row r="119" spans="1:20" ht="12" customHeight="1" x14ac:dyDescent="0.2">
      <c r="A119" s="1413"/>
      <c r="B119" s="1420"/>
      <c r="C119" s="1422"/>
      <c r="D119" s="1707"/>
      <c r="E119" s="1748"/>
      <c r="F119" s="1439" t="s">
        <v>58</v>
      </c>
      <c r="G119" s="675">
        <v>153.80000000000001</v>
      </c>
      <c r="H119" s="675"/>
      <c r="I119" s="675"/>
      <c r="J119" s="1503"/>
      <c r="K119" s="249"/>
      <c r="L119" s="648"/>
      <c r="M119" s="420"/>
      <c r="P119" s="208"/>
      <c r="Q119" s="208"/>
      <c r="R119" s="208"/>
      <c r="S119" s="208"/>
      <c r="T119" s="208"/>
    </row>
    <row r="120" spans="1:20" ht="12" customHeight="1" x14ac:dyDescent="0.2">
      <c r="A120" s="1413"/>
      <c r="B120" s="1420"/>
      <c r="C120" s="1422"/>
      <c r="D120" s="1707"/>
      <c r="E120" s="1748"/>
      <c r="F120" s="1439" t="s">
        <v>40</v>
      </c>
      <c r="G120" s="675">
        <v>2</v>
      </c>
      <c r="H120" s="675">
        <v>2</v>
      </c>
      <c r="I120" s="675">
        <v>2</v>
      </c>
      <c r="J120" s="1503"/>
      <c r="K120" s="249"/>
      <c r="L120" s="648"/>
      <c r="M120" s="420"/>
      <c r="P120" s="208"/>
      <c r="Q120" s="208"/>
      <c r="R120" s="208"/>
      <c r="S120" s="208"/>
      <c r="T120" s="208"/>
    </row>
    <row r="121" spans="1:20" ht="13.5" customHeight="1" x14ac:dyDescent="0.2">
      <c r="A121" s="1584"/>
      <c r="B121" s="1585"/>
      <c r="C121" s="1588"/>
      <c r="D121" s="1592"/>
      <c r="E121" s="1591"/>
      <c r="F121" s="1586" t="s">
        <v>80</v>
      </c>
      <c r="G121" s="675">
        <v>0.3</v>
      </c>
      <c r="H121" s="675"/>
      <c r="I121" s="675"/>
      <c r="J121" s="1503"/>
      <c r="K121" s="249"/>
      <c r="L121" s="648"/>
      <c r="M121" s="420"/>
      <c r="P121" s="208"/>
      <c r="Q121" s="208"/>
      <c r="R121" s="208"/>
      <c r="S121" s="208"/>
      <c r="T121" s="208"/>
    </row>
    <row r="122" spans="1:20" ht="27.75" customHeight="1" x14ac:dyDescent="0.2">
      <c r="A122" s="1683"/>
      <c r="B122" s="1732"/>
      <c r="C122" s="1724"/>
      <c r="D122" s="1679" t="s">
        <v>68</v>
      </c>
      <c r="E122" s="1740"/>
      <c r="F122" s="575"/>
      <c r="G122" s="93"/>
      <c r="H122" s="87"/>
      <c r="I122" s="93"/>
      <c r="J122" s="1589" t="s">
        <v>184</v>
      </c>
      <c r="K122" s="535">
        <v>8.9</v>
      </c>
      <c r="L122" s="302">
        <v>8.9</v>
      </c>
      <c r="M122" s="303">
        <v>8.9</v>
      </c>
      <c r="P122" s="208"/>
      <c r="Q122" s="208"/>
      <c r="R122" s="208"/>
      <c r="S122" s="208"/>
    </row>
    <row r="123" spans="1:20" ht="14.25" customHeight="1" x14ac:dyDescent="0.2">
      <c r="A123" s="1683"/>
      <c r="B123" s="1732"/>
      <c r="C123" s="1724"/>
      <c r="D123" s="1739"/>
      <c r="E123" s="1741"/>
      <c r="F123" s="370"/>
      <c r="G123" s="127"/>
      <c r="H123" s="89"/>
      <c r="I123" s="127"/>
      <c r="J123" s="1598" t="s">
        <v>150</v>
      </c>
      <c r="K123" s="584">
        <v>425</v>
      </c>
      <c r="L123" s="470">
        <v>425</v>
      </c>
      <c r="M123" s="492">
        <v>425</v>
      </c>
    </row>
    <row r="124" spans="1:20" ht="16.5" customHeight="1" x14ac:dyDescent="0.2">
      <c r="A124" s="1683"/>
      <c r="B124" s="1732"/>
      <c r="C124" s="1724"/>
      <c r="D124" s="1728" t="s">
        <v>37</v>
      </c>
      <c r="E124" s="1425"/>
      <c r="F124" s="575"/>
      <c r="G124" s="93"/>
      <c r="H124" s="87"/>
      <c r="I124" s="93"/>
      <c r="J124" s="1596" t="s">
        <v>39</v>
      </c>
      <c r="K124" s="33">
        <v>60</v>
      </c>
      <c r="L124" s="118">
        <v>60</v>
      </c>
      <c r="M124" s="173">
        <v>60</v>
      </c>
    </row>
    <row r="125" spans="1:20" ht="24.75" customHeight="1" x14ac:dyDescent="0.2">
      <c r="A125" s="1683"/>
      <c r="B125" s="1732"/>
      <c r="C125" s="1724"/>
      <c r="D125" s="1698"/>
      <c r="E125" s="1426"/>
      <c r="F125" s="1439"/>
      <c r="G125" s="675"/>
      <c r="H125" s="226"/>
      <c r="I125" s="675"/>
      <c r="J125" s="1597" t="s">
        <v>69</v>
      </c>
      <c r="K125" s="174">
        <v>1500</v>
      </c>
      <c r="L125" s="767">
        <v>1500</v>
      </c>
      <c r="M125" s="769">
        <v>1500</v>
      </c>
    </row>
    <row r="126" spans="1:20" ht="39" customHeight="1" x14ac:dyDescent="0.2">
      <c r="A126" s="1371"/>
      <c r="B126" s="1373"/>
      <c r="C126" s="1422"/>
      <c r="D126" s="1424"/>
      <c r="E126" s="1426"/>
      <c r="F126" s="1439"/>
      <c r="G126" s="675"/>
      <c r="H126" s="226"/>
      <c r="I126" s="675"/>
      <c r="J126" s="867" t="s">
        <v>473</v>
      </c>
      <c r="K126" s="174">
        <v>147</v>
      </c>
      <c r="L126" s="526"/>
      <c r="M126" s="491"/>
    </row>
    <row r="127" spans="1:20" ht="15.75" customHeight="1" x14ac:dyDescent="0.2">
      <c r="A127" s="1371"/>
      <c r="B127" s="1373"/>
      <c r="C127" s="1422"/>
      <c r="D127" s="1424"/>
      <c r="E127" s="1426"/>
      <c r="F127" s="1439"/>
      <c r="G127" s="675"/>
      <c r="H127" s="226"/>
      <c r="I127" s="675"/>
      <c r="J127" s="1681" t="s">
        <v>474</v>
      </c>
      <c r="K127" s="768">
        <v>1</v>
      </c>
      <c r="L127" s="767"/>
      <c r="M127" s="769"/>
    </row>
    <row r="128" spans="1:20" ht="25.5" customHeight="1" x14ac:dyDescent="0.2">
      <c r="A128" s="1371"/>
      <c r="B128" s="1373"/>
      <c r="C128" s="1422"/>
      <c r="D128" s="1424"/>
      <c r="E128" s="1426"/>
      <c r="F128" s="1439"/>
      <c r="G128" s="675"/>
      <c r="H128" s="226"/>
      <c r="I128" s="675"/>
      <c r="J128" s="1713"/>
      <c r="K128" s="1319"/>
      <c r="L128" s="1318"/>
      <c r="M128" s="1320"/>
    </row>
    <row r="129" spans="1:14" ht="39" customHeight="1" x14ac:dyDescent="0.2">
      <c r="A129" s="1371"/>
      <c r="B129" s="1373"/>
      <c r="C129" s="1422"/>
      <c r="D129" s="1424"/>
      <c r="E129" s="1426"/>
      <c r="F129" s="370"/>
      <c r="G129" s="127"/>
      <c r="H129" s="89"/>
      <c r="I129" s="127"/>
      <c r="J129" s="867" t="s">
        <v>475</v>
      </c>
      <c r="K129" s="174"/>
      <c r="L129" s="526">
        <v>1</v>
      </c>
      <c r="M129" s="491"/>
    </row>
    <row r="130" spans="1:14" ht="20.25" customHeight="1" x14ac:dyDescent="0.2">
      <c r="A130" s="1371"/>
      <c r="B130" s="1373"/>
      <c r="C130" s="1422"/>
      <c r="D130" s="1728" t="s">
        <v>106</v>
      </c>
      <c r="E130" s="1429"/>
      <c r="F130" s="575"/>
      <c r="G130" s="93"/>
      <c r="H130" s="87"/>
      <c r="I130" s="93"/>
      <c r="J130" s="501" t="s">
        <v>133</v>
      </c>
      <c r="K130" s="209" t="s">
        <v>360</v>
      </c>
      <c r="L130" s="210" t="s">
        <v>360</v>
      </c>
      <c r="M130" s="211" t="s">
        <v>360</v>
      </c>
      <c r="N130" s="1170"/>
    </row>
    <row r="131" spans="1:14" ht="33.75" customHeight="1" x14ac:dyDescent="0.2">
      <c r="A131" s="1371"/>
      <c r="B131" s="1373"/>
      <c r="C131" s="1422"/>
      <c r="D131" s="1729"/>
      <c r="E131" s="1430"/>
      <c r="F131" s="1439"/>
      <c r="G131" s="675"/>
      <c r="H131" s="226"/>
      <c r="I131" s="675"/>
      <c r="J131" s="1590" t="s">
        <v>134</v>
      </c>
      <c r="K131" s="766" t="s">
        <v>361</v>
      </c>
      <c r="L131" s="257" t="s">
        <v>361</v>
      </c>
      <c r="M131" s="166" t="s">
        <v>361</v>
      </c>
    </row>
    <row r="132" spans="1:14" ht="29.25" customHeight="1" x14ac:dyDescent="0.2">
      <c r="A132" s="1371"/>
      <c r="B132" s="1373"/>
      <c r="C132" s="1422"/>
      <c r="D132" s="1419" t="s">
        <v>57</v>
      </c>
      <c r="E132" s="1506"/>
      <c r="F132" s="522"/>
      <c r="G132" s="90"/>
      <c r="H132" s="90"/>
      <c r="I132" s="141"/>
      <c r="J132" s="1156" t="s">
        <v>38</v>
      </c>
      <c r="K132" s="282">
        <v>9</v>
      </c>
      <c r="L132" s="282">
        <v>9</v>
      </c>
      <c r="M132" s="283">
        <v>9</v>
      </c>
    </row>
    <row r="133" spans="1:14" ht="15.75" customHeight="1" x14ac:dyDescent="0.2">
      <c r="A133" s="1371"/>
      <c r="B133" s="1373"/>
      <c r="C133" s="1432"/>
      <c r="D133" s="1679" t="s">
        <v>250</v>
      </c>
      <c r="E133" s="1504"/>
      <c r="F133" s="575"/>
      <c r="G133" s="93"/>
      <c r="H133" s="87"/>
      <c r="I133" s="93"/>
      <c r="J133" s="1587" t="s">
        <v>87</v>
      </c>
      <c r="K133" s="33">
        <v>1</v>
      </c>
      <c r="L133" s="118"/>
      <c r="M133" s="173"/>
    </row>
    <row r="134" spans="1:14" ht="27" customHeight="1" x14ac:dyDescent="0.2">
      <c r="A134" s="25"/>
      <c r="B134" s="1373"/>
      <c r="C134" s="1432"/>
      <c r="D134" s="1680"/>
      <c r="E134" s="1505"/>
      <c r="F134" s="248"/>
      <c r="G134" s="523"/>
      <c r="H134" s="88"/>
      <c r="I134" s="523"/>
      <c r="J134" s="1593" t="s">
        <v>422</v>
      </c>
      <c r="K134" s="893"/>
      <c r="L134" s="1594">
        <v>100</v>
      </c>
      <c r="M134" s="1595"/>
    </row>
    <row r="135" spans="1:14" ht="16.5" customHeight="1" thickBot="1" x14ac:dyDescent="0.25">
      <c r="A135" s="26"/>
      <c r="B135" s="1421"/>
      <c r="C135" s="1487"/>
      <c r="D135" s="1495"/>
      <c r="E135" s="1496"/>
      <c r="F135" s="22" t="s">
        <v>6</v>
      </c>
      <c r="G135" s="155">
        <f>SUM(G118:G134)</f>
        <v>3730.5</v>
      </c>
      <c r="H135" s="155">
        <f>SUM(H118:H134)</f>
        <v>3656.9</v>
      </c>
      <c r="I135" s="155">
        <f>SUM(I118:I134)</f>
        <v>3516.9</v>
      </c>
      <c r="J135" s="1499"/>
      <c r="K135" s="1500"/>
      <c r="L135" s="1500"/>
      <c r="M135" s="161"/>
    </row>
    <row r="136" spans="1:14" ht="13.5" customHeight="1" x14ac:dyDescent="0.2">
      <c r="A136" s="1730" t="s">
        <v>5</v>
      </c>
      <c r="B136" s="1731" t="s">
        <v>5</v>
      </c>
      <c r="C136" s="1733" t="s">
        <v>26</v>
      </c>
      <c r="D136" s="1734" t="s">
        <v>55</v>
      </c>
      <c r="E136" s="1736" t="s">
        <v>450</v>
      </c>
      <c r="F136" s="159" t="s">
        <v>24</v>
      </c>
      <c r="G136" s="111">
        <v>2273</v>
      </c>
      <c r="H136" s="111">
        <v>2553.1999999999998</v>
      </c>
      <c r="I136" s="111">
        <v>2629.9</v>
      </c>
      <c r="J136" s="1738"/>
      <c r="K136" s="1716"/>
      <c r="L136" s="1718"/>
      <c r="M136" s="1720"/>
    </row>
    <row r="137" spans="1:14" ht="13.5" customHeight="1" x14ac:dyDescent="0.2">
      <c r="A137" s="1683"/>
      <c r="B137" s="1732"/>
      <c r="C137" s="1724"/>
      <c r="D137" s="1735"/>
      <c r="E137" s="1737"/>
      <c r="F137" s="248" t="s">
        <v>58</v>
      </c>
      <c r="G137" s="523">
        <v>112.9</v>
      </c>
      <c r="H137" s="523"/>
      <c r="I137" s="523"/>
      <c r="J137" s="1682"/>
      <c r="K137" s="1717"/>
      <c r="L137" s="1719"/>
      <c r="M137" s="1721"/>
    </row>
    <row r="138" spans="1:14" ht="15.75" customHeight="1" x14ac:dyDescent="0.2">
      <c r="A138" s="1683"/>
      <c r="B138" s="1684"/>
      <c r="C138" s="1724"/>
      <c r="D138" s="1680" t="s">
        <v>91</v>
      </c>
      <c r="E138" s="1726"/>
      <c r="F138" s="575"/>
      <c r="G138" s="93"/>
      <c r="H138" s="93"/>
      <c r="I138" s="93"/>
      <c r="J138" s="1428" t="s">
        <v>70</v>
      </c>
      <c r="K138" s="411">
        <v>17.399999999999999</v>
      </c>
      <c r="L138" s="725">
        <v>18.100000000000001</v>
      </c>
      <c r="M138" s="493">
        <v>18.899999999999999</v>
      </c>
    </row>
    <row r="139" spans="1:14" ht="15.75" customHeight="1" x14ac:dyDescent="0.2">
      <c r="A139" s="1683"/>
      <c r="B139" s="1684"/>
      <c r="C139" s="1724"/>
      <c r="D139" s="1725"/>
      <c r="E139" s="1727"/>
      <c r="F139" s="248"/>
      <c r="G139" s="523"/>
      <c r="H139" s="523"/>
      <c r="I139" s="523"/>
      <c r="J139" s="194" t="s">
        <v>51</v>
      </c>
      <c r="K139" s="386">
        <v>9.4</v>
      </c>
      <c r="L139" s="386">
        <v>9.6999999999999993</v>
      </c>
      <c r="M139" s="542">
        <v>10.1</v>
      </c>
    </row>
    <row r="140" spans="1:14" ht="16.5" customHeight="1" x14ac:dyDescent="0.2">
      <c r="A140" s="1371"/>
      <c r="B140" s="1373"/>
      <c r="C140" s="1422"/>
      <c r="D140" s="1679" t="s">
        <v>151</v>
      </c>
      <c r="E140" s="1286"/>
      <c r="F140" s="1439"/>
      <c r="G140" s="87"/>
      <c r="H140" s="87"/>
      <c r="I140" s="87"/>
      <c r="J140" s="1436" t="s">
        <v>51</v>
      </c>
      <c r="K140" s="302">
        <v>0.5</v>
      </c>
      <c r="L140" s="302">
        <v>0.5</v>
      </c>
      <c r="M140" s="303">
        <v>0.5</v>
      </c>
    </row>
    <row r="141" spans="1:14" ht="26.25" customHeight="1" x14ac:dyDescent="0.2">
      <c r="A141" s="1371"/>
      <c r="B141" s="1373"/>
      <c r="C141" s="1422"/>
      <c r="D141" s="1680"/>
      <c r="E141" s="1287"/>
      <c r="F141" s="1439"/>
      <c r="G141" s="226"/>
      <c r="H141" s="226"/>
      <c r="I141" s="226"/>
      <c r="J141" s="41" t="s">
        <v>280</v>
      </c>
      <c r="K141" s="526">
        <v>1646</v>
      </c>
      <c r="L141" s="526">
        <v>2096</v>
      </c>
      <c r="M141" s="491">
        <v>2096</v>
      </c>
    </row>
    <row r="142" spans="1:14" ht="39" customHeight="1" x14ac:dyDescent="0.2">
      <c r="A142" s="1371"/>
      <c r="B142" s="1372"/>
      <c r="C142" s="1422"/>
      <c r="D142" s="1680"/>
      <c r="E142" s="1287"/>
      <c r="F142" s="1439"/>
      <c r="G142" s="86"/>
      <c r="H142" s="226"/>
      <c r="I142" s="226"/>
      <c r="J142" s="41" t="s">
        <v>281</v>
      </c>
      <c r="K142" s="650">
        <v>29.2</v>
      </c>
      <c r="L142" s="650">
        <v>35.200000000000003</v>
      </c>
      <c r="M142" s="651">
        <v>35.200000000000003</v>
      </c>
    </row>
    <row r="143" spans="1:14" ht="30" customHeight="1" x14ac:dyDescent="0.2">
      <c r="A143" s="1371"/>
      <c r="B143" s="1373"/>
      <c r="C143" s="1422"/>
      <c r="D143" s="1714"/>
      <c r="E143" s="1281"/>
      <c r="F143" s="248"/>
      <c r="G143" s="88"/>
      <c r="H143" s="88"/>
      <c r="I143" s="88"/>
      <c r="J143" s="527" t="s">
        <v>367</v>
      </c>
      <c r="K143" s="65">
        <v>3</v>
      </c>
      <c r="L143" s="119">
        <v>3</v>
      </c>
      <c r="M143" s="172">
        <v>3</v>
      </c>
    </row>
    <row r="144" spans="1:14" ht="14.25" customHeight="1" x14ac:dyDescent="0.2">
      <c r="A144" s="1371"/>
      <c r="B144" s="1373"/>
      <c r="C144" s="1437"/>
      <c r="D144" s="1679" t="s">
        <v>375</v>
      </c>
      <c r="E144" s="1425"/>
      <c r="F144" s="575"/>
      <c r="G144" s="87"/>
      <c r="H144" s="93"/>
      <c r="I144" s="93"/>
      <c r="J144" s="1418"/>
      <c r="K144" s="118"/>
      <c r="L144" s="118"/>
      <c r="M144" s="173"/>
    </row>
    <row r="145" spans="1:15" ht="12.75" customHeight="1" x14ac:dyDescent="0.2">
      <c r="A145" s="1371"/>
      <c r="B145" s="1373"/>
      <c r="C145" s="1422"/>
      <c r="D145" s="1715"/>
      <c r="E145" s="1507"/>
      <c r="F145" s="370"/>
      <c r="G145" s="89"/>
      <c r="H145" s="127"/>
      <c r="I145" s="127"/>
      <c r="J145" s="701"/>
      <c r="K145" s="633"/>
      <c r="L145" s="584"/>
      <c r="M145" s="492"/>
    </row>
    <row r="146" spans="1:15" ht="25.5" customHeight="1" x14ac:dyDescent="0.2">
      <c r="A146" s="1371"/>
      <c r="B146" s="1373"/>
      <c r="C146" s="1422"/>
      <c r="D146" s="559" t="s">
        <v>478</v>
      </c>
      <c r="E146" s="1426"/>
      <c r="F146" s="1439"/>
      <c r="G146" s="675"/>
      <c r="H146" s="675"/>
      <c r="I146" s="675"/>
      <c r="J146" s="1418" t="s">
        <v>241</v>
      </c>
      <c r="K146" s="363">
        <v>16</v>
      </c>
      <c r="L146" s="363"/>
      <c r="M146" s="381"/>
    </row>
    <row r="147" spans="1:15" ht="25.5" customHeight="1" x14ac:dyDescent="0.2">
      <c r="A147" s="1371"/>
      <c r="B147" s="1373"/>
      <c r="C147" s="1722" t="s">
        <v>451</v>
      </c>
      <c r="D147" s="559" t="s">
        <v>494</v>
      </c>
      <c r="E147" s="1426"/>
      <c r="F147" s="1439"/>
      <c r="G147" s="675"/>
      <c r="H147" s="675"/>
      <c r="I147" s="675"/>
      <c r="J147" s="1418" t="s">
        <v>227</v>
      </c>
      <c r="K147" s="363">
        <v>100</v>
      </c>
      <c r="L147" s="117"/>
      <c r="M147" s="471"/>
    </row>
    <row r="148" spans="1:15" ht="26.25" customHeight="1" x14ac:dyDescent="0.2">
      <c r="A148" s="1371"/>
      <c r="B148" s="1373"/>
      <c r="C148" s="1722"/>
      <c r="D148" s="559" t="s">
        <v>495</v>
      </c>
      <c r="E148" s="1426"/>
      <c r="F148" s="1439"/>
      <c r="G148" s="675"/>
      <c r="H148" s="675"/>
      <c r="I148" s="675"/>
      <c r="J148" s="1418"/>
      <c r="K148" s="117"/>
      <c r="L148" s="117"/>
      <c r="M148" s="471"/>
    </row>
    <row r="149" spans="1:15" ht="15.75" customHeight="1" x14ac:dyDescent="0.2">
      <c r="A149" s="1371"/>
      <c r="B149" s="1373"/>
      <c r="C149" s="1722"/>
      <c r="D149" s="1145" t="s">
        <v>479</v>
      </c>
      <c r="E149" s="1426"/>
      <c r="F149" s="1439"/>
      <c r="G149" s="675"/>
      <c r="H149" s="675"/>
      <c r="I149" s="675"/>
      <c r="J149" s="1418"/>
      <c r="K149" s="117"/>
      <c r="L149" s="117"/>
      <c r="M149" s="471"/>
    </row>
    <row r="150" spans="1:15" ht="15" customHeight="1" x14ac:dyDescent="0.2">
      <c r="A150" s="1371"/>
      <c r="B150" s="1373"/>
      <c r="C150" s="1722"/>
      <c r="D150" s="1145" t="s">
        <v>480</v>
      </c>
      <c r="E150" s="1426"/>
      <c r="F150" s="1439"/>
      <c r="G150" s="675"/>
      <c r="H150" s="675"/>
      <c r="I150" s="675"/>
      <c r="J150" s="1418"/>
      <c r="K150" s="117"/>
      <c r="L150" s="117"/>
      <c r="M150" s="471"/>
    </row>
    <row r="151" spans="1:15" ht="27.75" customHeight="1" x14ac:dyDescent="0.2">
      <c r="A151" s="1371"/>
      <c r="B151" s="1373"/>
      <c r="C151" s="62"/>
      <c r="D151" s="1145" t="s">
        <v>481</v>
      </c>
      <c r="E151" s="1426"/>
      <c r="F151" s="1439"/>
      <c r="G151" s="675"/>
      <c r="H151" s="675"/>
      <c r="I151" s="675"/>
      <c r="J151" s="1418"/>
      <c r="K151" s="117"/>
      <c r="L151" s="117"/>
      <c r="M151" s="471"/>
    </row>
    <row r="152" spans="1:15" ht="24.75" customHeight="1" x14ac:dyDescent="0.2">
      <c r="A152" s="1371"/>
      <c r="B152" s="1373"/>
      <c r="C152" s="1508"/>
      <c r="D152" s="1145" t="s">
        <v>482</v>
      </c>
      <c r="E152" s="1426"/>
      <c r="F152" s="1439"/>
      <c r="G152" s="675"/>
      <c r="H152" s="675"/>
      <c r="I152" s="675"/>
      <c r="J152" s="1418"/>
      <c r="K152" s="117"/>
      <c r="L152" s="117"/>
      <c r="M152" s="471"/>
    </row>
    <row r="153" spans="1:15" ht="15" customHeight="1" x14ac:dyDescent="0.2">
      <c r="A153" s="1371"/>
      <c r="B153" s="1373"/>
      <c r="C153" s="1723" t="s">
        <v>368</v>
      </c>
      <c r="D153" s="570" t="s">
        <v>484</v>
      </c>
      <c r="E153" s="1425"/>
      <c r="F153" s="575"/>
      <c r="G153" s="93"/>
      <c r="H153" s="87"/>
      <c r="I153" s="93"/>
      <c r="J153" s="1427" t="s">
        <v>227</v>
      </c>
      <c r="K153" s="503"/>
      <c r="L153" s="503">
        <v>100</v>
      </c>
      <c r="M153" s="380"/>
    </row>
    <row r="154" spans="1:15" ht="14.25" customHeight="1" x14ac:dyDescent="0.2">
      <c r="A154" s="1371"/>
      <c r="B154" s="1373"/>
      <c r="C154" s="1722"/>
      <c r="D154" s="568" t="s">
        <v>483</v>
      </c>
      <c r="E154" s="1426"/>
      <c r="F154" s="1439"/>
      <c r="G154" s="675"/>
      <c r="H154" s="226"/>
      <c r="I154" s="675"/>
      <c r="J154" s="1418"/>
      <c r="K154" s="363"/>
      <c r="L154" s="363"/>
      <c r="M154" s="381"/>
    </row>
    <row r="155" spans="1:15" ht="15" customHeight="1" x14ac:dyDescent="0.2">
      <c r="A155" s="1371"/>
      <c r="B155" s="1373"/>
      <c r="C155" s="1722"/>
      <c r="D155" s="559" t="s">
        <v>485</v>
      </c>
      <c r="E155" s="1426"/>
      <c r="F155" s="1439"/>
      <c r="G155" s="675"/>
      <c r="H155" s="226"/>
      <c r="I155" s="675"/>
      <c r="J155" s="1418"/>
      <c r="K155" s="363"/>
      <c r="L155" s="117"/>
      <c r="M155" s="471"/>
    </row>
    <row r="156" spans="1:15" ht="15" customHeight="1" x14ac:dyDescent="0.2">
      <c r="A156" s="1371"/>
      <c r="B156" s="1373"/>
      <c r="C156" s="1722"/>
      <c r="D156" s="559" t="s">
        <v>486</v>
      </c>
      <c r="E156" s="1426"/>
      <c r="F156" s="1439"/>
      <c r="G156" s="675"/>
      <c r="H156" s="226"/>
      <c r="I156" s="675"/>
      <c r="J156" s="1418"/>
      <c r="K156" s="363"/>
      <c r="L156" s="117"/>
      <c r="M156" s="471"/>
    </row>
    <row r="157" spans="1:15" ht="26.25" customHeight="1" x14ac:dyDescent="0.2">
      <c r="A157" s="1371"/>
      <c r="B157" s="1373"/>
      <c r="C157" s="1722"/>
      <c r="D157" s="559" t="s">
        <v>487</v>
      </c>
      <c r="E157" s="1426"/>
      <c r="F157" s="1439"/>
      <c r="G157" s="675"/>
      <c r="H157" s="226"/>
      <c r="I157" s="675"/>
      <c r="J157" s="1418"/>
      <c r="K157" s="117"/>
      <c r="L157" s="117"/>
      <c r="M157" s="471"/>
    </row>
    <row r="158" spans="1:15" ht="15.75" customHeight="1" x14ac:dyDescent="0.2">
      <c r="A158" s="1371"/>
      <c r="B158" s="1373"/>
      <c r="C158" s="1508"/>
      <c r="D158" s="1417" t="s">
        <v>394</v>
      </c>
      <c r="E158" s="1281"/>
      <c r="F158" s="248"/>
      <c r="G158" s="523"/>
      <c r="H158" s="88"/>
      <c r="I158" s="675"/>
      <c r="J158" s="1418"/>
      <c r="K158" s="117"/>
      <c r="L158" s="117"/>
      <c r="M158" s="471"/>
    </row>
    <row r="159" spans="1:15" ht="27" customHeight="1" x14ac:dyDescent="0.2">
      <c r="A159" s="1371"/>
      <c r="B159" s="1373"/>
      <c r="C159" s="1722" t="s">
        <v>369</v>
      </c>
      <c r="D159" s="568" t="s">
        <v>493</v>
      </c>
      <c r="E159" s="1426"/>
      <c r="F159" s="1439"/>
      <c r="G159" s="675"/>
      <c r="H159" s="1418"/>
      <c r="I159" s="93"/>
      <c r="J159" s="1427" t="s">
        <v>227</v>
      </c>
      <c r="K159" s="118"/>
      <c r="L159" s="118"/>
      <c r="M159" s="173">
        <v>100</v>
      </c>
    </row>
    <row r="160" spans="1:15" ht="27" customHeight="1" x14ac:dyDescent="0.2">
      <c r="A160" s="1371"/>
      <c r="B160" s="1373"/>
      <c r="C160" s="1722"/>
      <c r="D160" s="559" t="s">
        <v>488</v>
      </c>
      <c r="E160" s="1426"/>
      <c r="F160" s="1439"/>
      <c r="G160" s="675"/>
      <c r="H160" s="675"/>
      <c r="I160" s="675"/>
      <c r="J160" s="1418"/>
      <c r="K160" s="117"/>
      <c r="L160" s="117"/>
      <c r="M160" s="471"/>
      <c r="O160" s="208"/>
    </row>
    <row r="161" spans="1:13" ht="15" customHeight="1" x14ac:dyDescent="0.2">
      <c r="A161" s="1371"/>
      <c r="B161" s="1373"/>
      <c r="C161" s="1722"/>
      <c r="D161" s="559" t="s">
        <v>489</v>
      </c>
      <c r="E161" s="1426"/>
      <c r="F161" s="1439"/>
      <c r="G161" s="675"/>
      <c r="H161" s="675"/>
      <c r="I161" s="675"/>
      <c r="J161" s="1418"/>
      <c r="K161" s="117"/>
      <c r="L161" s="117"/>
      <c r="M161" s="471"/>
    </row>
    <row r="162" spans="1:13" ht="15" customHeight="1" x14ac:dyDescent="0.2">
      <c r="A162" s="1371"/>
      <c r="B162" s="1373"/>
      <c r="C162" s="1722"/>
      <c r="D162" s="559" t="s">
        <v>490</v>
      </c>
      <c r="E162" s="1426"/>
      <c r="F162" s="1439"/>
      <c r="G162" s="675"/>
      <c r="H162" s="675"/>
      <c r="I162" s="675"/>
      <c r="J162" s="1418"/>
      <c r="K162" s="117"/>
      <c r="L162" s="117"/>
      <c r="M162" s="471"/>
    </row>
    <row r="163" spans="1:13" ht="15" customHeight="1" x14ac:dyDescent="0.2">
      <c r="A163" s="1371"/>
      <c r="B163" s="1373"/>
      <c r="C163" s="1422"/>
      <c r="D163" s="559" t="s">
        <v>491</v>
      </c>
      <c r="E163" s="1426"/>
      <c r="F163" s="1439"/>
      <c r="G163" s="675"/>
      <c r="H163" s="675"/>
      <c r="I163" s="675"/>
      <c r="J163" s="1418"/>
      <c r="K163" s="117"/>
      <c r="L163" s="117"/>
      <c r="M163" s="471"/>
    </row>
    <row r="164" spans="1:13" ht="15" customHeight="1" x14ac:dyDescent="0.2">
      <c r="A164" s="1371"/>
      <c r="B164" s="1373"/>
      <c r="C164" s="1422"/>
      <c r="D164" s="559" t="s">
        <v>492</v>
      </c>
      <c r="E164" s="1426"/>
      <c r="F164" s="1439"/>
      <c r="G164" s="675"/>
      <c r="H164" s="675"/>
      <c r="I164" s="675"/>
      <c r="J164" s="1418"/>
      <c r="K164" s="117"/>
      <c r="L164" s="117"/>
      <c r="M164" s="471"/>
    </row>
    <row r="165" spans="1:13" ht="12.75" customHeight="1" x14ac:dyDescent="0.2">
      <c r="A165" s="1371"/>
      <c r="B165" s="1373"/>
      <c r="C165" s="1422"/>
      <c r="D165" s="1145" t="s">
        <v>370</v>
      </c>
      <c r="E165" s="1505"/>
      <c r="F165" s="248"/>
      <c r="G165" s="523"/>
      <c r="H165" s="523"/>
      <c r="I165" s="523"/>
      <c r="J165" s="1418"/>
      <c r="K165" s="117"/>
      <c r="L165" s="117"/>
      <c r="M165" s="471"/>
    </row>
    <row r="166" spans="1:13" ht="16.5" customHeight="1" thickBot="1" x14ac:dyDescent="0.25">
      <c r="A166" s="26"/>
      <c r="B166" s="1421"/>
      <c r="C166" s="1487"/>
      <c r="D166" s="1495"/>
      <c r="E166" s="1496"/>
      <c r="F166" s="22" t="s">
        <v>6</v>
      </c>
      <c r="G166" s="155">
        <f>SUM(G136:G165)</f>
        <v>2385.9</v>
      </c>
      <c r="H166" s="155">
        <f t="shared" ref="H166:I166" si="0">SUM(H136:H165)</f>
        <v>2553.1999999999998</v>
      </c>
      <c r="I166" s="155">
        <f t="shared" si="0"/>
        <v>2629.9</v>
      </c>
      <c r="J166" s="1499"/>
      <c r="K166" s="1500"/>
      <c r="L166" s="1500"/>
      <c r="M166" s="161"/>
    </row>
    <row r="167" spans="1:13" ht="14.25" customHeight="1" thickBot="1" x14ac:dyDescent="0.25">
      <c r="A167" s="27" t="s">
        <v>5</v>
      </c>
      <c r="B167" s="63" t="s">
        <v>5</v>
      </c>
      <c r="C167" s="1649" t="s">
        <v>8</v>
      </c>
      <c r="D167" s="1650"/>
      <c r="E167" s="1650"/>
      <c r="F167" s="1651"/>
      <c r="G167" s="322">
        <f>G166+G135+G117</f>
        <v>14155</v>
      </c>
      <c r="H167" s="322">
        <f>H166+H135+H117</f>
        <v>19030.900000000001</v>
      </c>
      <c r="I167" s="322">
        <f>I166+I135+I117</f>
        <v>20301.3</v>
      </c>
      <c r="J167" s="232"/>
      <c r="K167" s="232"/>
      <c r="L167" s="232"/>
      <c r="M167" s="197"/>
    </row>
    <row r="168" spans="1:13" ht="17.25" customHeight="1" thickBot="1" x14ac:dyDescent="0.25">
      <c r="A168" s="27" t="s">
        <v>5</v>
      </c>
      <c r="B168" s="63" t="s">
        <v>7</v>
      </c>
      <c r="C168" s="1708" t="s">
        <v>42</v>
      </c>
      <c r="D168" s="1709"/>
      <c r="E168" s="1709"/>
      <c r="F168" s="1709"/>
      <c r="G168" s="1709"/>
      <c r="H168" s="1709"/>
      <c r="I168" s="1709"/>
      <c r="J168" s="1709"/>
      <c r="K168" s="1709"/>
      <c r="L168" s="1709"/>
      <c r="M168" s="1710"/>
    </row>
    <row r="169" spans="1:13" ht="14.25" customHeight="1" x14ac:dyDescent="0.2">
      <c r="A169" s="68" t="s">
        <v>5</v>
      </c>
      <c r="B169" s="97" t="s">
        <v>7</v>
      </c>
      <c r="C169" s="204" t="s">
        <v>5</v>
      </c>
      <c r="D169" s="1665" t="s">
        <v>74</v>
      </c>
      <c r="E169" s="637"/>
      <c r="F169" s="1511" t="s">
        <v>24</v>
      </c>
      <c r="G169" s="1511">
        <v>456.7</v>
      </c>
      <c r="H169" s="1511">
        <v>626.6</v>
      </c>
      <c r="I169" s="1511">
        <v>568.1</v>
      </c>
      <c r="J169" s="640"/>
      <c r="K169" s="215"/>
      <c r="L169" s="215"/>
      <c r="M169" s="216"/>
    </row>
    <row r="170" spans="1:13" ht="14.25" customHeight="1" x14ac:dyDescent="0.2">
      <c r="A170" s="69"/>
      <c r="B170" s="203"/>
      <c r="C170" s="1432"/>
      <c r="D170" s="1666"/>
      <c r="E170" s="1435"/>
      <c r="F170" s="1512" t="s">
        <v>58</v>
      </c>
      <c r="G170" s="1512">
        <v>140</v>
      </c>
      <c r="H170" s="1513"/>
      <c r="I170" s="1513"/>
      <c r="J170" s="1509"/>
      <c r="K170" s="1510"/>
      <c r="L170" s="1510"/>
      <c r="M170" s="1477"/>
    </row>
    <row r="171" spans="1:13" ht="18" customHeight="1" x14ac:dyDescent="0.2">
      <c r="A171" s="69"/>
      <c r="B171" s="203"/>
      <c r="C171" s="1432"/>
      <c r="D171" s="1686" t="s">
        <v>52</v>
      </c>
      <c r="E171" s="1434"/>
      <c r="F171" s="50"/>
      <c r="G171" s="226"/>
      <c r="H171" s="675"/>
      <c r="I171" s="675"/>
      <c r="J171" s="1411" t="s">
        <v>116</v>
      </c>
      <c r="K171" s="363">
        <v>310</v>
      </c>
      <c r="L171" s="363">
        <v>320</v>
      </c>
      <c r="M171" s="381">
        <v>320</v>
      </c>
    </row>
    <row r="172" spans="1:13" ht="28.5" customHeight="1" x14ac:dyDescent="0.2">
      <c r="A172" s="69"/>
      <c r="B172" s="203"/>
      <c r="C172" s="1432"/>
      <c r="D172" s="1686"/>
      <c r="E172" s="1434"/>
      <c r="F172" s="50"/>
      <c r="G172" s="226"/>
      <c r="H172" s="675"/>
      <c r="I172" s="675"/>
      <c r="J172" s="1411" t="s">
        <v>117</v>
      </c>
      <c r="K172" s="363">
        <v>300</v>
      </c>
      <c r="L172" s="363">
        <v>300</v>
      </c>
      <c r="M172" s="381">
        <v>300</v>
      </c>
    </row>
    <row r="173" spans="1:13" ht="33" customHeight="1" x14ac:dyDescent="0.2">
      <c r="A173" s="69"/>
      <c r="B173" s="203"/>
      <c r="C173" s="1422"/>
      <c r="D173" s="1662"/>
      <c r="E173" s="1435"/>
      <c r="F173" s="51"/>
      <c r="G173" s="88"/>
      <c r="H173" s="523"/>
      <c r="I173" s="523"/>
      <c r="J173" s="527" t="s">
        <v>78</v>
      </c>
      <c r="K173" s="364">
        <v>27</v>
      </c>
      <c r="L173" s="364">
        <v>27</v>
      </c>
      <c r="M173" s="378">
        <v>27</v>
      </c>
    </row>
    <row r="174" spans="1:13" ht="14.25" customHeight="1" x14ac:dyDescent="0.2">
      <c r="A174" s="69"/>
      <c r="B174" s="203"/>
      <c r="C174" s="1432"/>
      <c r="D174" s="1679" t="s">
        <v>461</v>
      </c>
      <c r="E174" s="1434"/>
      <c r="F174" s="53"/>
      <c r="G174" s="87"/>
      <c r="H174" s="93"/>
      <c r="I174" s="93"/>
      <c r="J174" s="1711" t="s">
        <v>97</v>
      </c>
      <c r="K174" s="503">
        <v>18</v>
      </c>
      <c r="L174" s="503">
        <v>18</v>
      </c>
      <c r="M174" s="380">
        <v>18</v>
      </c>
    </row>
    <row r="175" spans="1:13" ht="12" customHeight="1" x14ac:dyDescent="0.2">
      <c r="A175" s="69"/>
      <c r="B175" s="203"/>
      <c r="C175" s="1432"/>
      <c r="D175" s="1680"/>
      <c r="E175" s="1434"/>
      <c r="F175" s="23"/>
      <c r="G175" s="226"/>
      <c r="H175" s="226"/>
      <c r="I175" s="226"/>
      <c r="J175" s="1712"/>
      <c r="K175" s="429"/>
      <c r="L175" s="429"/>
      <c r="M175" s="72"/>
    </row>
    <row r="176" spans="1:13" ht="16.5" customHeight="1" x14ac:dyDescent="0.2">
      <c r="A176" s="69"/>
      <c r="B176" s="203"/>
      <c r="C176" s="1432"/>
      <c r="D176" s="1680"/>
      <c r="E176" s="1434"/>
      <c r="F176" s="23"/>
      <c r="G176" s="226"/>
      <c r="H176" s="675"/>
      <c r="I176" s="675"/>
      <c r="J176" s="1681" t="s">
        <v>231</v>
      </c>
      <c r="K176" s="323">
        <v>33</v>
      </c>
      <c r="L176" s="217">
        <v>66</v>
      </c>
      <c r="M176" s="324">
        <v>100</v>
      </c>
    </row>
    <row r="177" spans="1:13" ht="12" customHeight="1" x14ac:dyDescent="0.2">
      <c r="A177" s="69"/>
      <c r="B177" s="203"/>
      <c r="C177" s="1432"/>
      <c r="D177" s="1680"/>
      <c r="E177" s="1434"/>
      <c r="F177" s="23"/>
      <c r="G177" s="226"/>
      <c r="H177" s="226"/>
      <c r="I177" s="226"/>
      <c r="J177" s="1713"/>
      <c r="K177" s="786"/>
      <c r="L177" s="787"/>
      <c r="M177" s="1034"/>
    </row>
    <row r="178" spans="1:13" ht="27.75" customHeight="1" x14ac:dyDescent="0.2">
      <c r="A178" s="69"/>
      <c r="B178" s="203"/>
      <c r="C178" s="1432"/>
      <c r="D178" s="1680"/>
      <c r="E178" s="1434"/>
      <c r="F178" s="50"/>
      <c r="G178" s="675"/>
      <c r="H178" s="675"/>
      <c r="I178" s="226"/>
      <c r="J178" s="557" t="s">
        <v>395</v>
      </c>
      <c r="K178" s="323">
        <v>200</v>
      </c>
      <c r="L178" s="217"/>
      <c r="M178" s="1140"/>
    </row>
    <row r="179" spans="1:13" ht="26.25" customHeight="1" x14ac:dyDescent="0.2">
      <c r="A179" s="69"/>
      <c r="B179" s="203"/>
      <c r="C179" s="1432"/>
      <c r="D179" s="1680"/>
      <c r="E179" s="1434"/>
      <c r="F179" s="50"/>
      <c r="G179" s="226"/>
      <c r="H179" s="675"/>
      <c r="I179" s="226"/>
      <c r="J179" s="549" t="s">
        <v>230</v>
      </c>
      <c r="K179" s="545">
        <v>5.7</v>
      </c>
      <c r="L179" s="545">
        <v>5.7</v>
      </c>
      <c r="M179" s="546">
        <v>5.7</v>
      </c>
    </row>
    <row r="180" spans="1:13" ht="16.5" customHeight="1" x14ac:dyDescent="0.2">
      <c r="A180" s="69"/>
      <c r="B180" s="203"/>
      <c r="C180" s="1432"/>
      <c r="D180" s="1412"/>
      <c r="E180" s="1434"/>
      <c r="F180" s="50"/>
      <c r="G180" s="226"/>
      <c r="H180" s="675"/>
      <c r="I180" s="226"/>
      <c r="J180" s="549" t="s">
        <v>421</v>
      </c>
      <c r="K180" s="545">
        <v>13</v>
      </c>
      <c r="L180" s="545"/>
      <c r="M180" s="546"/>
    </row>
    <row r="181" spans="1:13" ht="26.25" customHeight="1" x14ac:dyDescent="0.2">
      <c r="A181" s="69"/>
      <c r="B181" s="203"/>
      <c r="C181" s="1432"/>
      <c r="D181" s="1412"/>
      <c r="E181" s="1434"/>
      <c r="F181" s="23"/>
      <c r="G181" s="226"/>
      <c r="H181" s="226"/>
      <c r="I181" s="226"/>
      <c r="J181" s="1411" t="s">
        <v>232</v>
      </c>
      <c r="K181" s="786"/>
      <c r="L181" s="1033">
        <v>100</v>
      </c>
      <c r="M181" s="72"/>
    </row>
    <row r="182" spans="1:13" ht="26.25" customHeight="1" x14ac:dyDescent="0.2">
      <c r="A182" s="69"/>
      <c r="B182" s="203"/>
      <c r="C182" s="1432"/>
      <c r="D182" s="1412"/>
      <c r="E182" s="1434"/>
      <c r="F182" s="23"/>
      <c r="G182" s="675"/>
      <c r="H182" s="675"/>
      <c r="I182" s="226"/>
      <c r="J182" s="1035" t="s">
        <v>396</v>
      </c>
      <c r="K182" s="430"/>
      <c r="L182" s="151"/>
      <c r="M182" s="260">
        <v>100</v>
      </c>
    </row>
    <row r="183" spans="1:13" ht="26.25" customHeight="1" x14ac:dyDescent="0.2">
      <c r="A183" s="69"/>
      <c r="B183" s="203"/>
      <c r="C183" s="1432"/>
      <c r="D183" s="278"/>
      <c r="E183" s="1435"/>
      <c r="F183" s="54"/>
      <c r="G183" s="523"/>
      <c r="H183" s="523"/>
      <c r="I183" s="523"/>
      <c r="J183" s="1095" t="s">
        <v>397</v>
      </c>
      <c r="K183" s="1142"/>
      <c r="L183" s="1142"/>
      <c r="M183" s="1163">
        <v>700</v>
      </c>
    </row>
    <row r="184" spans="1:13" ht="13.5" customHeight="1" x14ac:dyDescent="0.2">
      <c r="A184" s="69"/>
      <c r="B184" s="203"/>
      <c r="C184" s="1432"/>
      <c r="D184" s="1698" t="s">
        <v>372</v>
      </c>
      <c r="E184" s="1700"/>
      <c r="F184" s="50"/>
      <c r="G184" s="226"/>
      <c r="H184" s="675"/>
      <c r="I184" s="675"/>
      <c r="J184" s="1418" t="s">
        <v>411</v>
      </c>
      <c r="K184" s="1033"/>
      <c r="L184" s="1033"/>
      <c r="M184" s="1036">
        <v>1</v>
      </c>
    </row>
    <row r="185" spans="1:13" ht="9.75" customHeight="1" x14ac:dyDescent="0.2">
      <c r="A185" s="69"/>
      <c r="B185" s="203"/>
      <c r="C185" s="1432"/>
      <c r="D185" s="1699"/>
      <c r="E185" s="1701"/>
      <c r="F185" s="51"/>
      <c r="G185" s="523"/>
      <c r="H185" s="88"/>
      <c r="I185" s="88"/>
      <c r="J185" s="194"/>
      <c r="K185" s="1037"/>
      <c r="L185" s="1037"/>
      <c r="M185" s="1038"/>
    </row>
    <row r="186" spans="1:13" ht="16.5" customHeight="1" thickBot="1" x14ac:dyDescent="0.25">
      <c r="A186" s="26"/>
      <c r="B186" s="1421"/>
      <c r="C186" s="1487"/>
      <c r="D186" s="1495"/>
      <c r="E186" s="1496"/>
      <c r="F186" s="22" t="s">
        <v>6</v>
      </c>
      <c r="G186" s="155">
        <f>SUM(G169:G185)</f>
        <v>596.70000000000005</v>
      </c>
      <c r="H186" s="155">
        <f>SUM(H169:H185)</f>
        <v>626.6</v>
      </c>
      <c r="I186" s="155">
        <f>SUM(I169:I185)</f>
        <v>568.1</v>
      </c>
      <c r="J186" s="1499"/>
      <c r="K186" s="1500"/>
      <c r="L186" s="1500"/>
      <c r="M186" s="161"/>
    </row>
    <row r="187" spans="1:13" ht="14.25" customHeight="1" thickBot="1" x14ac:dyDescent="0.25">
      <c r="A187" s="28" t="s">
        <v>5</v>
      </c>
      <c r="B187" s="6" t="s">
        <v>7</v>
      </c>
      <c r="C187" s="1650" t="s">
        <v>8</v>
      </c>
      <c r="D187" s="1650"/>
      <c r="E187" s="1650"/>
      <c r="F187" s="1650"/>
      <c r="G187" s="92">
        <f>G186</f>
        <v>596.70000000000005</v>
      </c>
      <c r="H187" s="92">
        <f t="shared" ref="H187:I187" si="1">H186</f>
        <v>626.6</v>
      </c>
      <c r="I187" s="92">
        <f t="shared" si="1"/>
        <v>568.1</v>
      </c>
      <c r="J187" s="232"/>
      <c r="K187" s="232"/>
      <c r="L187" s="232"/>
      <c r="M187" s="197"/>
    </row>
    <row r="188" spans="1:13" ht="17.25" customHeight="1" thickBot="1" x14ac:dyDescent="0.25">
      <c r="A188" s="27" t="s">
        <v>5</v>
      </c>
      <c r="B188" s="6" t="s">
        <v>26</v>
      </c>
      <c r="C188" s="1663" t="s">
        <v>127</v>
      </c>
      <c r="D188" s="1664"/>
      <c r="E188" s="1664"/>
      <c r="F188" s="1664"/>
      <c r="G188" s="1702"/>
      <c r="H188" s="1702"/>
      <c r="I188" s="1702"/>
      <c r="J188" s="1702"/>
      <c r="K188" s="1702"/>
      <c r="L188" s="235"/>
      <c r="M188" s="199"/>
    </row>
    <row r="189" spans="1:13" ht="12" customHeight="1" x14ac:dyDescent="0.2">
      <c r="A189" s="238" t="s">
        <v>5</v>
      </c>
      <c r="B189" s="233" t="s">
        <v>26</v>
      </c>
      <c r="C189" s="1414" t="s">
        <v>5</v>
      </c>
      <c r="D189" s="1665" t="s">
        <v>418</v>
      </c>
      <c r="E189" s="1704"/>
      <c r="F189" s="1439" t="s">
        <v>24</v>
      </c>
      <c r="G189" s="675">
        <f>1626.1</f>
        <v>1626.1</v>
      </c>
      <c r="H189" s="675">
        <v>2110.6999999999998</v>
      </c>
      <c r="I189" s="675">
        <v>1981.6</v>
      </c>
      <c r="J189" s="1418"/>
      <c r="K189" s="1514"/>
      <c r="L189" s="1515"/>
      <c r="M189" s="243"/>
    </row>
    <row r="190" spans="1:13" ht="12" customHeight="1" x14ac:dyDescent="0.2">
      <c r="A190" s="238"/>
      <c r="B190" s="233"/>
      <c r="C190" s="1414"/>
      <c r="D190" s="1707"/>
      <c r="E190" s="1705"/>
      <c r="F190" s="1439" t="s">
        <v>58</v>
      </c>
      <c r="G190" s="675">
        <f>229-10.8+50</f>
        <v>268.2</v>
      </c>
      <c r="H190" s="675"/>
      <c r="I190" s="675"/>
      <c r="J190" s="1418"/>
      <c r="K190" s="1514"/>
      <c r="L190" s="1515"/>
      <c r="M190" s="244"/>
    </row>
    <row r="191" spans="1:13" ht="12" customHeight="1" x14ac:dyDescent="0.2">
      <c r="A191" s="238"/>
      <c r="B191" s="233"/>
      <c r="C191" s="1414"/>
      <c r="D191" s="1707"/>
      <c r="E191" s="1705"/>
      <c r="F191" s="1439" t="s">
        <v>48</v>
      </c>
      <c r="G191" s="120">
        <v>935.2</v>
      </c>
      <c r="H191" s="120">
        <v>2103.6</v>
      </c>
      <c r="I191" s="120">
        <v>1636.2</v>
      </c>
      <c r="J191" s="1418"/>
      <c r="K191" s="1514"/>
      <c r="L191" s="1515"/>
      <c r="M191" s="244"/>
    </row>
    <row r="192" spans="1:13" ht="12" customHeight="1" x14ac:dyDescent="0.2">
      <c r="A192" s="238"/>
      <c r="B192" s="233"/>
      <c r="C192" s="1414"/>
      <c r="D192" s="1666"/>
      <c r="E192" s="1706"/>
      <c r="F192" s="248" t="s">
        <v>168</v>
      </c>
      <c r="G192" s="88">
        <v>82.5</v>
      </c>
      <c r="H192" s="88">
        <v>185.6</v>
      </c>
      <c r="I192" s="88">
        <v>144.4</v>
      </c>
      <c r="J192" s="194"/>
      <c r="K192" s="349"/>
      <c r="L192" s="436"/>
      <c r="M192" s="1516"/>
    </row>
    <row r="193" spans="1:15" ht="14.25" customHeight="1" x14ac:dyDescent="0.2">
      <c r="A193" s="238"/>
      <c r="B193" s="233"/>
      <c r="C193" s="1414"/>
      <c r="D193" s="1679" t="s">
        <v>246</v>
      </c>
      <c r="E193" s="1517" t="s">
        <v>47</v>
      </c>
      <c r="F193" s="1439"/>
      <c r="G193" s="675"/>
      <c r="H193" s="226"/>
      <c r="I193" s="226"/>
      <c r="J193" s="261"/>
      <c r="K193" s="438"/>
      <c r="L193" s="438"/>
      <c r="M193" s="263"/>
      <c r="N193" s="1690"/>
      <c r="O193" s="1690"/>
    </row>
    <row r="194" spans="1:15" ht="14.25" customHeight="1" x14ac:dyDescent="0.2">
      <c r="A194" s="238"/>
      <c r="B194" s="233"/>
      <c r="C194" s="1414"/>
      <c r="D194" s="1703"/>
      <c r="E194" s="1416" t="s">
        <v>450</v>
      </c>
      <c r="F194" s="1439"/>
      <c r="G194" s="675"/>
      <c r="H194" s="226"/>
      <c r="I194" s="226"/>
      <c r="J194" s="261"/>
      <c r="K194" s="438"/>
      <c r="L194" s="438"/>
      <c r="M194" s="263"/>
    </row>
    <row r="195" spans="1:15" ht="15" customHeight="1" x14ac:dyDescent="0.2">
      <c r="A195" s="238"/>
      <c r="B195" s="233"/>
      <c r="C195" s="1414"/>
      <c r="D195" s="246" t="s">
        <v>301</v>
      </c>
      <c r="E195" s="1416" t="s">
        <v>388</v>
      </c>
      <c r="F195" s="1439"/>
      <c r="G195" s="675"/>
      <c r="H195" s="226"/>
      <c r="I195" s="226"/>
      <c r="J195" s="306" t="s">
        <v>233</v>
      </c>
      <c r="K195" s="439">
        <v>10</v>
      </c>
      <c r="L195" s="439">
        <v>10</v>
      </c>
      <c r="M195" s="309">
        <v>10</v>
      </c>
    </row>
    <row r="196" spans="1:15" ht="13.5" customHeight="1" x14ac:dyDescent="0.2">
      <c r="A196" s="238"/>
      <c r="B196" s="233"/>
      <c r="C196" s="1414"/>
      <c r="D196" s="1691" t="s">
        <v>262</v>
      </c>
      <c r="E196" s="1416"/>
      <c r="F196" s="1439"/>
      <c r="G196" s="675"/>
      <c r="H196" s="226"/>
      <c r="I196" s="226"/>
      <c r="J196" s="1693" t="s">
        <v>202</v>
      </c>
      <c r="K196" s="440">
        <v>329</v>
      </c>
      <c r="L196" s="440">
        <v>315</v>
      </c>
      <c r="M196" s="334">
        <v>308</v>
      </c>
    </row>
    <row r="197" spans="1:15" ht="13.5" customHeight="1" x14ac:dyDescent="0.2">
      <c r="A197" s="238"/>
      <c r="B197" s="233"/>
      <c r="C197" s="1414"/>
      <c r="D197" s="1692"/>
      <c r="E197" s="1416"/>
      <c r="F197" s="1439"/>
      <c r="G197" s="675"/>
      <c r="H197" s="226"/>
      <c r="I197" s="226"/>
      <c r="J197" s="1694"/>
      <c r="K197" s="1186"/>
      <c r="L197" s="1186"/>
      <c r="M197" s="1187"/>
    </row>
    <row r="198" spans="1:15" ht="26.25" customHeight="1" x14ac:dyDescent="0.2">
      <c r="A198" s="238"/>
      <c r="B198" s="233"/>
      <c r="C198" s="1414"/>
      <c r="D198" s="1410" t="s">
        <v>245</v>
      </c>
      <c r="E198" s="1415"/>
      <c r="F198" s="248"/>
      <c r="G198" s="523"/>
      <c r="H198" s="88"/>
      <c r="I198" s="88"/>
      <c r="J198" s="180" t="s">
        <v>142</v>
      </c>
      <c r="K198" s="1216">
        <v>7.9</v>
      </c>
      <c r="L198" s="1216">
        <v>6.9</v>
      </c>
      <c r="M198" s="1217">
        <v>5.7</v>
      </c>
    </row>
    <row r="199" spans="1:15" ht="13.5" customHeight="1" x14ac:dyDescent="0.2">
      <c r="A199" s="1371"/>
      <c r="B199" s="1373"/>
      <c r="C199" s="1422"/>
      <c r="D199" s="1679" t="s">
        <v>146</v>
      </c>
      <c r="E199" s="1517" t="s">
        <v>47</v>
      </c>
      <c r="F199" s="142"/>
      <c r="G199" s="226"/>
      <c r="H199" s="226"/>
      <c r="I199" s="226"/>
      <c r="J199" s="1539" t="s">
        <v>87</v>
      </c>
      <c r="K199" s="1536"/>
      <c r="L199" s="1536"/>
      <c r="M199" s="1537"/>
    </row>
    <row r="200" spans="1:15" ht="14.25" customHeight="1" x14ac:dyDescent="0.2">
      <c r="A200" s="1371"/>
      <c r="B200" s="1373"/>
      <c r="C200" s="1422"/>
      <c r="D200" s="1680"/>
      <c r="E200" s="1535" t="s">
        <v>450</v>
      </c>
      <c r="F200" s="142"/>
      <c r="G200" s="120"/>
      <c r="H200" s="120"/>
      <c r="I200" s="120"/>
      <c r="J200" s="1696" t="s">
        <v>414</v>
      </c>
      <c r="K200" s="497">
        <v>50</v>
      </c>
      <c r="L200" s="497">
        <v>90</v>
      </c>
      <c r="M200" s="498">
        <v>10</v>
      </c>
      <c r="N200" s="562"/>
    </row>
    <row r="201" spans="1:15" ht="14.25" customHeight="1" x14ac:dyDescent="0.2">
      <c r="A201" s="1371"/>
      <c r="B201" s="1373"/>
      <c r="C201" s="1422"/>
      <c r="D201" s="1695"/>
      <c r="E201" s="1535" t="s">
        <v>388</v>
      </c>
      <c r="F201" s="142"/>
      <c r="G201" s="226"/>
      <c r="H201" s="226"/>
      <c r="I201" s="226"/>
      <c r="J201" s="1697"/>
      <c r="K201" s="470"/>
      <c r="L201" s="470"/>
      <c r="M201" s="492"/>
    </row>
    <row r="202" spans="1:15" ht="29.25" customHeight="1" x14ac:dyDescent="0.2">
      <c r="A202" s="238"/>
      <c r="B202" s="233"/>
      <c r="C202" s="1534"/>
      <c r="D202" s="1548"/>
      <c r="E202" s="1535"/>
      <c r="F202" s="1540"/>
      <c r="G202" s="675"/>
      <c r="H202" s="226"/>
      <c r="I202" s="226"/>
      <c r="J202" s="41" t="s">
        <v>202</v>
      </c>
      <c r="K202" s="439"/>
      <c r="L202" s="1549">
        <v>200</v>
      </c>
      <c r="M202" s="1550">
        <v>246</v>
      </c>
    </row>
    <row r="203" spans="1:15" ht="18.75" customHeight="1" x14ac:dyDescent="0.2">
      <c r="A203" s="238"/>
      <c r="B203" s="233"/>
      <c r="C203" s="1534"/>
      <c r="D203" s="1532"/>
      <c r="E203" s="1545"/>
      <c r="F203" s="248"/>
      <c r="G203" s="523"/>
      <c r="H203" s="88"/>
      <c r="I203" s="88"/>
      <c r="J203" s="194" t="s">
        <v>452</v>
      </c>
      <c r="K203" s="1216"/>
      <c r="L203" s="1551">
        <v>100</v>
      </c>
      <c r="M203" s="286">
        <v>159</v>
      </c>
    </row>
    <row r="204" spans="1:15" ht="24.75" customHeight="1" x14ac:dyDescent="0.2">
      <c r="A204" s="1683"/>
      <c r="B204" s="1684"/>
      <c r="C204" s="1685"/>
      <c r="D204" s="1661" t="s">
        <v>132</v>
      </c>
      <c r="E204" s="1687"/>
      <c r="F204" s="575"/>
      <c r="G204" s="93"/>
      <c r="H204" s="87"/>
      <c r="I204" s="87"/>
      <c r="J204" s="1436" t="s">
        <v>141</v>
      </c>
      <c r="K204" s="400">
        <v>1</v>
      </c>
      <c r="L204" s="146">
        <v>1</v>
      </c>
      <c r="M204" s="175">
        <v>1</v>
      </c>
    </row>
    <row r="205" spans="1:15" ht="15" customHeight="1" x14ac:dyDescent="0.2">
      <c r="A205" s="1683"/>
      <c r="B205" s="1684"/>
      <c r="C205" s="1685"/>
      <c r="D205" s="1686"/>
      <c r="E205" s="1688"/>
      <c r="F205" s="1439"/>
      <c r="G205" s="675"/>
      <c r="H205" s="226"/>
      <c r="I205" s="226"/>
      <c r="J205" s="1133"/>
      <c r="K205" s="335"/>
      <c r="L205" s="145"/>
      <c r="M205" s="223"/>
    </row>
    <row r="206" spans="1:15" ht="26.25" customHeight="1" x14ac:dyDescent="0.2">
      <c r="A206" s="1371"/>
      <c r="B206" s="1372"/>
      <c r="C206" s="1432"/>
      <c r="D206" s="1679" t="s">
        <v>276</v>
      </c>
      <c r="E206" s="1429"/>
      <c r="F206" s="575"/>
      <c r="G206" s="87"/>
      <c r="H206" s="87"/>
      <c r="I206" s="87"/>
      <c r="J206" s="1427" t="s">
        <v>391</v>
      </c>
      <c r="K206" s="1268">
        <v>1</v>
      </c>
      <c r="L206" s="1269"/>
      <c r="M206" s="1270"/>
      <c r="N206" s="8"/>
      <c r="O206" s="1559"/>
    </row>
    <row r="207" spans="1:15" ht="25.5" customHeight="1" x14ac:dyDescent="0.2">
      <c r="A207" s="1371"/>
      <c r="B207" s="1372"/>
      <c r="C207" s="1432"/>
      <c r="D207" s="1680"/>
      <c r="E207" s="1430"/>
      <c r="F207" s="1439"/>
      <c r="G207" s="226"/>
      <c r="H207" s="226"/>
      <c r="I207" s="226"/>
      <c r="J207" s="41" t="s">
        <v>165</v>
      </c>
      <c r="K207" s="409">
        <v>8</v>
      </c>
      <c r="L207" s="526">
        <v>11</v>
      </c>
      <c r="M207" s="491">
        <v>15</v>
      </c>
      <c r="N207" s="8"/>
    </row>
    <row r="208" spans="1:15" ht="17.25" customHeight="1" x14ac:dyDescent="0.2">
      <c r="A208" s="25"/>
      <c r="B208" s="1373"/>
      <c r="C208" s="1432"/>
      <c r="D208" s="1680"/>
      <c r="E208" s="1434"/>
      <c r="F208" s="1439"/>
      <c r="G208" s="226"/>
      <c r="H208" s="226"/>
      <c r="I208" s="226"/>
      <c r="J208" s="30" t="s">
        <v>236</v>
      </c>
      <c r="K208" s="308">
        <v>100</v>
      </c>
      <c r="L208" s="439">
        <v>100</v>
      </c>
      <c r="M208" s="309">
        <v>100</v>
      </c>
    </row>
    <row r="209" spans="1:13" ht="26.25" customHeight="1" x14ac:dyDescent="0.2">
      <c r="A209" s="25"/>
      <c r="B209" s="1373"/>
      <c r="C209" s="1432"/>
      <c r="D209" s="1680"/>
      <c r="E209" s="1434"/>
      <c r="F209" s="1439"/>
      <c r="G209" s="675"/>
      <c r="H209" s="675"/>
      <c r="I209" s="226"/>
      <c r="J209" s="306" t="s">
        <v>164</v>
      </c>
      <c r="K209" s="174">
        <v>1</v>
      </c>
      <c r="L209" s="174">
        <v>3</v>
      </c>
      <c r="M209" s="491">
        <v>3</v>
      </c>
    </row>
    <row r="210" spans="1:13" ht="28.5" customHeight="1" x14ac:dyDescent="0.2">
      <c r="A210" s="25"/>
      <c r="B210" s="1373"/>
      <c r="C210" s="1432"/>
      <c r="D210" s="1680"/>
      <c r="E210" s="1430"/>
      <c r="F210" s="1439"/>
      <c r="G210" s="675"/>
      <c r="H210" s="675"/>
      <c r="I210" s="226"/>
      <c r="J210" s="1681" t="s">
        <v>238</v>
      </c>
      <c r="K210" s="335">
        <v>2</v>
      </c>
      <c r="L210" s="145">
        <v>7</v>
      </c>
      <c r="M210" s="223">
        <v>7</v>
      </c>
    </row>
    <row r="211" spans="1:13" ht="15" customHeight="1" x14ac:dyDescent="0.2">
      <c r="A211" s="25"/>
      <c r="B211" s="1373"/>
      <c r="C211" s="1432"/>
      <c r="D211" s="1417"/>
      <c r="E211" s="1431"/>
      <c r="F211" s="248"/>
      <c r="G211" s="523"/>
      <c r="H211" s="523"/>
      <c r="I211" s="88"/>
      <c r="J211" s="1682"/>
      <c r="K211" s="383"/>
      <c r="L211" s="147"/>
      <c r="M211" s="187"/>
    </row>
    <row r="212" spans="1:13" ht="16.5" customHeight="1" thickBot="1" x14ac:dyDescent="0.25">
      <c r="A212" s="26"/>
      <c r="B212" s="1421"/>
      <c r="C212" s="1487"/>
      <c r="D212" s="1495"/>
      <c r="E212" s="1496"/>
      <c r="F212" s="22" t="s">
        <v>6</v>
      </c>
      <c r="G212" s="155">
        <f>SUM(G189:G211)</f>
        <v>2912</v>
      </c>
      <c r="H212" s="155">
        <f>SUM(H189:H211)</f>
        <v>4399.8999999999996</v>
      </c>
      <c r="I212" s="155">
        <f>SUM(I189:I211)</f>
        <v>3762.2</v>
      </c>
      <c r="J212" s="1499"/>
      <c r="K212" s="1500"/>
      <c r="L212" s="1500"/>
      <c r="M212" s="161"/>
    </row>
    <row r="213" spans="1:13" ht="26.25" customHeight="1" x14ac:dyDescent="0.2">
      <c r="A213" s="29" t="s">
        <v>5</v>
      </c>
      <c r="B213" s="200" t="s">
        <v>26</v>
      </c>
      <c r="C213" s="201" t="s">
        <v>7</v>
      </c>
      <c r="D213" s="680" t="s">
        <v>147</v>
      </c>
      <c r="E213" s="1526"/>
      <c r="F213" s="159" t="s">
        <v>24</v>
      </c>
      <c r="G213" s="106">
        <v>94.2</v>
      </c>
      <c r="H213" s="106">
        <v>55.7</v>
      </c>
      <c r="I213" s="106">
        <v>8</v>
      </c>
      <c r="J213" s="1423"/>
      <c r="K213" s="1518"/>
      <c r="L213" s="445"/>
      <c r="M213" s="221"/>
    </row>
    <row r="214" spans="1:13" ht="53.25" customHeight="1" x14ac:dyDescent="0.2">
      <c r="A214" s="238"/>
      <c r="B214" s="233"/>
      <c r="C214" s="1414"/>
      <c r="D214" s="247" t="s">
        <v>305</v>
      </c>
      <c r="E214" s="1524"/>
      <c r="F214" s="522"/>
      <c r="G214" s="90"/>
      <c r="H214" s="90"/>
      <c r="I214" s="90"/>
      <c r="J214" s="351" t="s">
        <v>139</v>
      </c>
      <c r="K214" s="1183"/>
      <c r="L214" s="1184">
        <v>1</v>
      </c>
      <c r="M214" s="1519"/>
    </row>
    <row r="215" spans="1:13" ht="53.25" customHeight="1" x14ac:dyDescent="0.2">
      <c r="A215" s="238"/>
      <c r="B215" s="233"/>
      <c r="C215" s="1414"/>
      <c r="D215" s="1409" t="s">
        <v>306</v>
      </c>
      <c r="E215" s="1236"/>
      <c r="F215" s="1439"/>
      <c r="G215" s="226"/>
      <c r="H215" s="226"/>
      <c r="I215" s="226"/>
      <c r="J215" s="1428" t="s">
        <v>139</v>
      </c>
      <c r="K215" s="335"/>
      <c r="L215" s="145"/>
      <c r="M215" s="223">
        <v>1</v>
      </c>
    </row>
    <row r="216" spans="1:13" ht="43.5" customHeight="1" x14ac:dyDescent="0.2">
      <c r="A216" s="238"/>
      <c r="B216" s="233"/>
      <c r="C216" s="1414"/>
      <c r="D216" s="247" t="s">
        <v>242</v>
      </c>
      <c r="E216" s="1524"/>
      <c r="F216" s="522"/>
      <c r="G216" s="90"/>
      <c r="H216" s="90"/>
      <c r="I216" s="90"/>
      <c r="J216" s="351" t="s">
        <v>139</v>
      </c>
      <c r="K216" s="1183"/>
      <c r="L216" s="1184">
        <v>1</v>
      </c>
      <c r="M216" s="1519"/>
    </row>
    <row r="217" spans="1:13" ht="52.5" customHeight="1" x14ac:dyDescent="0.2">
      <c r="A217" s="238"/>
      <c r="B217" s="233"/>
      <c r="C217" s="1414"/>
      <c r="D217" s="247" t="s">
        <v>161</v>
      </c>
      <c r="E217" s="1524"/>
      <c r="F217" s="522"/>
      <c r="G217" s="90"/>
      <c r="H217" s="90"/>
      <c r="I217" s="90"/>
      <c r="J217" s="1081" t="s">
        <v>139</v>
      </c>
      <c r="K217" s="1183"/>
      <c r="L217" s="1184">
        <v>1</v>
      </c>
      <c r="M217" s="1519"/>
    </row>
    <row r="218" spans="1:13" ht="52.5" customHeight="1" x14ac:dyDescent="0.2">
      <c r="A218" s="238"/>
      <c r="B218" s="233"/>
      <c r="C218" s="1414"/>
      <c r="D218" s="1410" t="s">
        <v>333</v>
      </c>
      <c r="E218" s="1527"/>
      <c r="F218" s="248"/>
      <c r="G218" s="88"/>
      <c r="H218" s="88"/>
      <c r="I218" s="88"/>
      <c r="J218" s="1081" t="s">
        <v>139</v>
      </c>
      <c r="K218" s="383"/>
      <c r="L218" s="147">
        <v>1</v>
      </c>
      <c r="M218" s="187"/>
    </row>
    <row r="219" spans="1:13" ht="54" customHeight="1" x14ac:dyDescent="0.2">
      <c r="A219" s="238"/>
      <c r="B219" s="233"/>
      <c r="C219" s="1414"/>
      <c r="D219" s="1066" t="s">
        <v>379</v>
      </c>
      <c r="E219" s="1527"/>
      <c r="F219" s="522"/>
      <c r="G219" s="1083"/>
      <c r="H219" s="1084"/>
      <c r="I219" s="1084"/>
      <c r="J219" s="1081" t="s">
        <v>139</v>
      </c>
      <c r="K219" s="1181">
        <v>1</v>
      </c>
      <c r="L219" s="1181"/>
      <c r="M219" s="1520"/>
    </row>
    <row r="220" spans="1:13" ht="66.75" customHeight="1" x14ac:dyDescent="0.2">
      <c r="A220" s="238"/>
      <c r="B220" s="233"/>
      <c r="C220" s="1414"/>
      <c r="D220" s="1074" t="s">
        <v>377</v>
      </c>
      <c r="E220" s="1527"/>
      <c r="F220" s="522"/>
      <c r="G220" s="1083"/>
      <c r="H220" s="1083"/>
      <c r="I220" s="1083"/>
      <c r="J220" s="1081" t="s">
        <v>139</v>
      </c>
      <c r="K220" s="1181"/>
      <c r="L220" s="1181"/>
      <c r="M220" s="1521">
        <v>1</v>
      </c>
    </row>
    <row r="221" spans="1:13" ht="56.25" customHeight="1" x14ac:dyDescent="0.2">
      <c r="A221" s="238"/>
      <c r="B221" s="233"/>
      <c r="C221" s="1414"/>
      <c r="D221" s="1066" t="s">
        <v>376</v>
      </c>
      <c r="E221" s="1523"/>
      <c r="F221" s="522"/>
      <c r="G221" s="1083"/>
      <c r="H221" s="1083"/>
      <c r="I221" s="1083"/>
      <c r="J221" s="1081" t="s">
        <v>139</v>
      </c>
      <c r="K221" s="1181"/>
      <c r="L221" s="1181">
        <v>1</v>
      </c>
      <c r="M221" s="1444"/>
    </row>
    <row r="222" spans="1:13" ht="53.25" customHeight="1" x14ac:dyDescent="0.2">
      <c r="A222" s="238"/>
      <c r="B222" s="233"/>
      <c r="C222" s="1414"/>
      <c r="D222" s="247" t="s">
        <v>254</v>
      </c>
      <c r="E222" s="1524"/>
      <c r="F222" s="522"/>
      <c r="G222" s="90"/>
      <c r="H222" s="90"/>
      <c r="I222" s="90"/>
      <c r="J222" s="351" t="s">
        <v>139</v>
      </c>
      <c r="K222" s="1183"/>
      <c r="L222" s="1184">
        <v>1</v>
      </c>
      <c r="M222" s="1519"/>
    </row>
    <row r="223" spans="1:13" ht="16.5" customHeight="1" thickBot="1" x14ac:dyDescent="0.25">
      <c r="A223" s="26"/>
      <c r="B223" s="1421"/>
      <c r="C223" s="1487"/>
      <c r="D223" s="1495"/>
      <c r="E223" s="1525"/>
      <c r="F223" s="1528" t="s">
        <v>6</v>
      </c>
      <c r="G223" s="1522">
        <f>SUM(G213:G222)</f>
        <v>94.2</v>
      </c>
      <c r="H223" s="1522">
        <f>SUM(H213:H222)</f>
        <v>55.7</v>
      </c>
      <c r="I223" s="1522">
        <f>SUM(I213:I222)</f>
        <v>8</v>
      </c>
      <c r="J223" s="1499"/>
      <c r="K223" s="1500"/>
      <c r="L223" s="1500"/>
      <c r="M223" s="161"/>
    </row>
    <row r="224" spans="1:13" ht="16.5" customHeight="1" thickBot="1" x14ac:dyDescent="0.25">
      <c r="A224" s="27" t="s">
        <v>5</v>
      </c>
      <c r="B224" s="6" t="s">
        <v>26</v>
      </c>
      <c r="C224" s="1649" t="s">
        <v>8</v>
      </c>
      <c r="D224" s="1650"/>
      <c r="E224" s="1650"/>
      <c r="F224" s="1651"/>
      <c r="G224" s="92">
        <f>G223+G212</f>
        <v>3006.2</v>
      </c>
      <c r="H224" s="92">
        <f t="shared" ref="H224:I224" si="2">H223+H212</f>
        <v>4455.6000000000004</v>
      </c>
      <c r="I224" s="92">
        <f t="shared" si="2"/>
        <v>3770.2</v>
      </c>
      <c r="J224" s="232"/>
      <c r="K224" s="232"/>
      <c r="L224" s="232"/>
      <c r="M224" s="197"/>
    </row>
    <row r="225" spans="1:17" ht="15.75" customHeight="1" thickBot="1" x14ac:dyDescent="0.25">
      <c r="A225" s="27" t="s">
        <v>5</v>
      </c>
      <c r="B225" s="6" t="s">
        <v>34</v>
      </c>
      <c r="C225" s="1663" t="s">
        <v>43</v>
      </c>
      <c r="D225" s="1664"/>
      <c r="E225" s="1664"/>
      <c r="F225" s="1664"/>
      <c r="G225" s="1378"/>
      <c r="H225" s="1378"/>
      <c r="I225" s="1378"/>
      <c r="J225" s="1370"/>
      <c r="K225" s="235"/>
      <c r="L225" s="235"/>
      <c r="M225" s="199"/>
    </row>
    <row r="226" spans="1:17" ht="13.5" customHeight="1" x14ac:dyDescent="0.2">
      <c r="A226" s="29" t="s">
        <v>5</v>
      </c>
      <c r="B226" s="200" t="s">
        <v>34</v>
      </c>
      <c r="C226" s="201" t="s">
        <v>5</v>
      </c>
      <c r="D226" s="1665" t="s">
        <v>417</v>
      </c>
      <c r="E226" s="99"/>
      <c r="F226" s="367" t="s">
        <v>24</v>
      </c>
      <c r="G226" s="106">
        <v>220</v>
      </c>
      <c r="H226" s="106">
        <v>220</v>
      </c>
      <c r="I226" s="106">
        <v>220</v>
      </c>
      <c r="J226" s="1423"/>
      <c r="K226" s="1239"/>
      <c r="L226" s="445"/>
      <c r="M226" s="221"/>
    </row>
    <row r="227" spans="1:17" ht="15.75" customHeight="1" x14ac:dyDescent="0.2">
      <c r="A227" s="1234"/>
      <c r="B227" s="233"/>
      <c r="C227" s="1529"/>
      <c r="D227" s="1666"/>
      <c r="E227" s="1236"/>
      <c r="F227" s="366" t="s">
        <v>58</v>
      </c>
      <c r="G227" s="226">
        <f>175.8+2.2</f>
        <v>178</v>
      </c>
      <c r="H227" s="226"/>
      <c r="I227" s="226"/>
      <c r="J227" s="1428"/>
      <c r="K227" s="154"/>
      <c r="L227" s="145"/>
      <c r="M227" s="223"/>
    </row>
    <row r="228" spans="1:17" s="47" customFormat="1" ht="14.25" customHeight="1" x14ac:dyDescent="0.2">
      <c r="A228" s="1667"/>
      <c r="B228" s="1669"/>
      <c r="C228" s="1671"/>
      <c r="D228" s="1673" t="s">
        <v>175</v>
      </c>
      <c r="E228" s="1676" t="s">
        <v>47</v>
      </c>
      <c r="F228" s="1087"/>
      <c r="G228" s="1088"/>
      <c r="H228" s="1088"/>
      <c r="I228" s="1088"/>
      <c r="J228" s="1089" t="s">
        <v>174</v>
      </c>
      <c r="K228" s="1090">
        <v>550</v>
      </c>
      <c r="L228" s="1090">
        <v>550</v>
      </c>
      <c r="M228" s="1091">
        <v>550</v>
      </c>
    </row>
    <row r="229" spans="1:17" s="47" customFormat="1" ht="12.75" customHeight="1" x14ac:dyDescent="0.2">
      <c r="A229" s="1668"/>
      <c r="B229" s="1670"/>
      <c r="C229" s="1672"/>
      <c r="D229" s="1674"/>
      <c r="E229" s="1677"/>
      <c r="F229" s="571"/>
      <c r="G229" s="572"/>
      <c r="H229" s="572"/>
      <c r="I229" s="572"/>
      <c r="J229" s="573" t="s">
        <v>174</v>
      </c>
      <c r="K229" s="574">
        <f>260+377</f>
        <v>637</v>
      </c>
      <c r="L229" s="574"/>
      <c r="M229" s="425"/>
    </row>
    <row r="230" spans="1:17" s="47" customFormat="1" ht="12.75" customHeight="1" x14ac:dyDescent="0.2">
      <c r="A230" s="1668"/>
      <c r="B230" s="1670"/>
      <c r="C230" s="1672"/>
      <c r="D230" s="1675"/>
      <c r="E230" s="1678"/>
      <c r="F230" s="352"/>
      <c r="G230" s="353"/>
      <c r="H230" s="353"/>
      <c r="I230" s="353"/>
      <c r="J230" s="305"/>
      <c r="K230" s="1093"/>
      <c r="L230" s="1093"/>
      <c r="M230" s="1094"/>
    </row>
    <row r="231" spans="1:17" ht="17.25" customHeight="1" x14ac:dyDescent="0.2">
      <c r="A231" s="1371"/>
      <c r="B231" s="1372"/>
      <c r="C231" s="1432"/>
      <c r="D231" s="1661" t="s">
        <v>380</v>
      </c>
      <c r="E231" s="1085"/>
      <c r="F231" s="1240"/>
      <c r="G231" s="572"/>
      <c r="H231" s="572"/>
      <c r="I231" s="572"/>
      <c r="J231" s="1689" t="s">
        <v>374</v>
      </c>
      <c r="K231" s="574">
        <v>20</v>
      </c>
      <c r="L231" s="574">
        <v>20</v>
      </c>
      <c r="M231" s="425">
        <v>20</v>
      </c>
    </row>
    <row r="232" spans="1:17" ht="36" customHeight="1" x14ac:dyDescent="0.2">
      <c r="A232" s="25"/>
      <c r="B232" s="1372"/>
      <c r="C232" s="61"/>
      <c r="D232" s="1662"/>
      <c r="E232" s="507"/>
      <c r="F232" s="365"/>
      <c r="G232" s="353"/>
      <c r="H232" s="353"/>
      <c r="I232" s="353"/>
      <c r="J232" s="1689"/>
      <c r="K232" s="574"/>
      <c r="L232" s="574"/>
      <c r="M232" s="425"/>
    </row>
    <row r="233" spans="1:17" ht="12.75" customHeight="1" x14ac:dyDescent="0.2">
      <c r="A233" s="1371"/>
      <c r="B233" s="1372"/>
      <c r="C233" s="1432"/>
      <c r="D233" s="1661" t="s">
        <v>118</v>
      </c>
      <c r="E233" s="1085"/>
      <c r="F233" s="575"/>
      <c r="G233" s="87"/>
      <c r="H233" s="132"/>
      <c r="I233" s="132"/>
      <c r="J233" s="1438" t="s">
        <v>87</v>
      </c>
      <c r="K233" s="146">
        <v>1</v>
      </c>
      <c r="L233" s="146"/>
      <c r="M233" s="175"/>
    </row>
    <row r="234" spans="1:17" ht="18" customHeight="1" x14ac:dyDescent="0.2">
      <c r="A234" s="25"/>
      <c r="B234" s="1372"/>
      <c r="C234" s="61"/>
      <c r="D234" s="1662"/>
      <c r="E234" s="507"/>
      <c r="F234" s="248"/>
      <c r="G234" s="88"/>
      <c r="H234" s="88"/>
      <c r="I234" s="88"/>
      <c r="J234" s="194"/>
      <c r="K234" s="147"/>
      <c r="L234" s="147"/>
      <c r="M234" s="187"/>
    </row>
    <row r="235" spans="1:17" ht="12.75" customHeight="1" x14ac:dyDescent="0.2">
      <c r="A235" s="1552"/>
      <c r="B235" s="1553"/>
      <c r="C235" s="1558"/>
      <c r="D235" s="1661" t="s">
        <v>307</v>
      </c>
      <c r="E235" s="1085"/>
      <c r="F235" s="575"/>
      <c r="G235" s="87"/>
      <c r="H235" s="132"/>
      <c r="I235" s="132"/>
      <c r="J235" s="1554" t="s">
        <v>205</v>
      </c>
      <c r="K235" s="222" t="s">
        <v>206</v>
      </c>
      <c r="L235" s="146"/>
      <c r="M235" s="175"/>
    </row>
    <row r="236" spans="1:17" ht="18" customHeight="1" x14ac:dyDescent="0.2">
      <c r="A236" s="25"/>
      <c r="B236" s="1553"/>
      <c r="C236" s="61"/>
      <c r="D236" s="1662"/>
      <c r="E236" s="507"/>
      <c r="F236" s="248"/>
      <c r="G236" s="88"/>
      <c r="H236" s="88"/>
      <c r="I236" s="88"/>
      <c r="J236" s="194"/>
      <c r="K236" s="147"/>
      <c r="L236" s="147"/>
      <c r="M236" s="187"/>
    </row>
    <row r="237" spans="1:17" ht="16.5" customHeight="1" thickBot="1" x14ac:dyDescent="0.25">
      <c r="A237" s="26"/>
      <c r="B237" s="1557"/>
      <c r="C237" s="1487"/>
      <c r="D237" s="1495"/>
      <c r="E237" s="1525"/>
      <c r="F237" s="22" t="s">
        <v>6</v>
      </c>
      <c r="G237" s="1522">
        <f>SUM(G226:G234)</f>
        <v>398</v>
      </c>
      <c r="H237" s="1522">
        <f t="shared" ref="H237:I237" si="3">SUM(H226:H234)</f>
        <v>220</v>
      </c>
      <c r="I237" s="1522">
        <f t="shared" si="3"/>
        <v>220</v>
      </c>
      <c r="J237" s="1499"/>
      <c r="K237" s="1500"/>
      <c r="L237" s="1500"/>
      <c r="M237" s="161"/>
    </row>
    <row r="238" spans="1:17" ht="13.5" thickBot="1" x14ac:dyDescent="0.25">
      <c r="A238" s="1556" t="s">
        <v>5</v>
      </c>
      <c r="B238" s="234" t="s">
        <v>34</v>
      </c>
      <c r="C238" s="1649" t="s">
        <v>8</v>
      </c>
      <c r="D238" s="1650"/>
      <c r="E238" s="1650"/>
      <c r="F238" s="1651"/>
      <c r="G238" s="92">
        <f>G237</f>
        <v>398</v>
      </c>
      <c r="H238" s="92">
        <f t="shared" ref="H238:I238" si="4">H237</f>
        <v>220</v>
      </c>
      <c r="I238" s="92">
        <f t="shared" si="4"/>
        <v>220</v>
      </c>
      <c r="J238" s="232"/>
      <c r="K238" s="232"/>
      <c r="L238" s="232"/>
      <c r="M238" s="197"/>
    </row>
    <row r="239" spans="1:17" ht="14.25" customHeight="1" thickBot="1" x14ac:dyDescent="0.25">
      <c r="A239" s="28" t="s">
        <v>5</v>
      </c>
      <c r="B239" s="1652" t="s">
        <v>9</v>
      </c>
      <c r="C239" s="1653"/>
      <c r="D239" s="1653"/>
      <c r="E239" s="1653"/>
      <c r="F239" s="1653"/>
      <c r="G239" s="265">
        <f>G238+G224+G187+G167</f>
        <v>18155.900000000001</v>
      </c>
      <c r="H239" s="265">
        <f>H238+H224+H187+H167</f>
        <v>24333.1</v>
      </c>
      <c r="I239" s="265">
        <f>I238+I224+I187+I167</f>
        <v>24859.599999999999</v>
      </c>
      <c r="J239" s="1654"/>
      <c r="K239" s="1655"/>
      <c r="L239" s="1655"/>
      <c r="M239" s="1656"/>
      <c r="Q239" s="208"/>
    </row>
    <row r="240" spans="1:17" ht="14.25" customHeight="1" thickBot="1" x14ac:dyDescent="0.25">
      <c r="A240" s="20" t="s">
        <v>36</v>
      </c>
      <c r="B240" s="1657" t="s">
        <v>56</v>
      </c>
      <c r="C240" s="1658"/>
      <c r="D240" s="1658"/>
      <c r="E240" s="1658"/>
      <c r="F240" s="1658"/>
      <c r="G240" s="266">
        <f t="shared" ref="G240:I240" si="5">SUM(G239)</f>
        <v>18155.900000000001</v>
      </c>
      <c r="H240" s="266">
        <f t="shared" si="5"/>
        <v>24333.1</v>
      </c>
      <c r="I240" s="266">
        <f t="shared" si="5"/>
        <v>24859.599999999999</v>
      </c>
      <c r="J240" s="1659"/>
      <c r="K240" s="1659"/>
      <c r="L240" s="1659"/>
      <c r="M240" s="1660"/>
      <c r="N240" s="8"/>
      <c r="O240" s="8"/>
    </row>
    <row r="241" spans="1:15" s="9" customFormat="1" ht="16.5" customHeight="1" x14ac:dyDescent="0.2">
      <c r="A241" s="1635"/>
      <c r="B241" s="1635"/>
      <c r="C241" s="1635"/>
      <c r="D241" s="1635"/>
      <c r="E241" s="1635"/>
      <c r="F241" s="1635"/>
      <c r="G241" s="1635"/>
      <c r="H241" s="1635"/>
      <c r="I241" s="1635"/>
      <c r="J241" s="1635"/>
      <c r="K241" s="521"/>
      <c r="L241" s="521"/>
      <c r="M241" s="521"/>
    </row>
    <row r="242" spans="1:15" s="9" customFormat="1" ht="17.25" customHeight="1" x14ac:dyDescent="0.2">
      <c r="A242" s="521"/>
      <c r="B242" s="781"/>
      <c r="C242" s="781"/>
      <c r="D242" s="781"/>
      <c r="E242" s="781"/>
      <c r="F242" s="781"/>
      <c r="G242" s="781"/>
      <c r="H242" s="781"/>
      <c r="I242" s="781"/>
      <c r="J242" s="781"/>
      <c r="K242" s="521"/>
      <c r="L242" s="521"/>
      <c r="M242" s="521"/>
    </row>
    <row r="243" spans="1:15" s="10" customFormat="1" ht="14.25" customHeight="1" thickBot="1" x14ac:dyDescent="0.25">
      <c r="A243" s="1636" t="s">
        <v>13</v>
      </c>
      <c r="B243" s="1636"/>
      <c r="C243" s="1636"/>
      <c r="D243" s="1636"/>
      <c r="E243" s="1636"/>
      <c r="F243" s="1636"/>
      <c r="G243" s="1381"/>
      <c r="H243" s="1381"/>
      <c r="I243" s="1381"/>
      <c r="J243" s="17"/>
      <c r="K243" s="17"/>
      <c r="L243" s="17"/>
      <c r="M243" s="17"/>
      <c r="N243" s="9"/>
      <c r="O243" s="9"/>
    </row>
    <row r="244" spans="1:15" ht="57" customHeight="1" thickBot="1" x14ac:dyDescent="0.25">
      <c r="A244" s="1637" t="s">
        <v>10</v>
      </c>
      <c r="B244" s="1638"/>
      <c r="C244" s="1638"/>
      <c r="D244" s="1638"/>
      <c r="E244" s="1638"/>
      <c r="F244" s="1639"/>
      <c r="G244" s="1530" t="s">
        <v>325</v>
      </c>
      <c r="H244" s="1531" t="s">
        <v>198</v>
      </c>
      <c r="I244" s="1531" t="s">
        <v>326</v>
      </c>
      <c r="J244" s="2"/>
      <c r="K244" s="2"/>
      <c r="L244" s="2"/>
      <c r="M244" s="2"/>
      <c r="N244" s="8"/>
      <c r="O244" s="8"/>
    </row>
    <row r="245" spans="1:15" ht="14.25" customHeight="1" x14ac:dyDescent="0.2">
      <c r="A245" s="1640" t="s">
        <v>14</v>
      </c>
      <c r="B245" s="1641"/>
      <c r="C245" s="1641"/>
      <c r="D245" s="1641"/>
      <c r="E245" s="1641"/>
      <c r="F245" s="1642"/>
      <c r="G245" s="358">
        <f>G246+G255+G256+G257+G254</f>
        <v>17128.900000000001</v>
      </c>
      <c r="H245" s="358">
        <f>H246+H255+H256+H257+H254</f>
        <v>20673.599999999999</v>
      </c>
      <c r="I245" s="358">
        <f>I246+I255+I256+I257+I254</f>
        <v>22165.4</v>
      </c>
      <c r="N245" s="8"/>
      <c r="O245" s="8"/>
    </row>
    <row r="246" spans="1:15" ht="14.25" customHeight="1" x14ac:dyDescent="0.2">
      <c r="A246" s="1643" t="s">
        <v>81</v>
      </c>
      <c r="B246" s="1644"/>
      <c r="C246" s="1644"/>
      <c r="D246" s="1644"/>
      <c r="E246" s="1644"/>
      <c r="F246" s="1645"/>
      <c r="G246" s="77">
        <f>SUM(G247:G253)</f>
        <v>15335.8</v>
      </c>
      <c r="H246" s="77">
        <f>SUM(H247:H253)</f>
        <v>20673.599999999999</v>
      </c>
      <c r="I246" s="77">
        <f>SUM(I247:I253)</f>
        <v>20165.400000000001</v>
      </c>
      <c r="J246" s="264"/>
      <c r="N246" s="8"/>
      <c r="O246" s="8"/>
    </row>
    <row r="247" spans="1:15" ht="14.25" customHeight="1" x14ac:dyDescent="0.2">
      <c r="A247" s="1646" t="s">
        <v>18</v>
      </c>
      <c r="B247" s="1647"/>
      <c r="C247" s="1647"/>
      <c r="D247" s="1647"/>
      <c r="E247" s="1647"/>
      <c r="F247" s="1648"/>
      <c r="G247" s="88">
        <f>SUMIF(F17:F240,"SB",G17:G240)</f>
        <v>11410.7</v>
      </c>
      <c r="H247" s="88">
        <f>SUMIF(F17:F240,"SB",H17:H240)</f>
        <v>16269</v>
      </c>
      <c r="I247" s="88">
        <f>SUMIF(F17:F240,"SB",I17:I240)</f>
        <v>18071.3</v>
      </c>
      <c r="J247" s="13"/>
      <c r="N247" s="8"/>
      <c r="O247" s="8"/>
    </row>
    <row r="248" spans="1:15" ht="27.75" customHeight="1" x14ac:dyDescent="0.2">
      <c r="A248" s="1607" t="s">
        <v>19</v>
      </c>
      <c r="B248" s="1608"/>
      <c r="C248" s="1608"/>
      <c r="D248" s="1608"/>
      <c r="E248" s="1608"/>
      <c r="F248" s="1609"/>
      <c r="G248" s="115">
        <f>SUMIF(F14:F240,"SB(SP)",G14:G240)</f>
        <v>35.700000000000003</v>
      </c>
      <c r="H248" s="115">
        <f>SUMIF(F14:F240,"SB(SP)",H14:H240)</f>
        <v>35.700000000000003</v>
      </c>
      <c r="I248" s="115">
        <f>SUMIF(F14:F240,"SB(SP)",I14:I240)</f>
        <v>35.700000000000003</v>
      </c>
      <c r="J248" s="18"/>
    </row>
    <row r="249" spans="1:15" ht="12.75" customHeight="1" x14ac:dyDescent="0.2">
      <c r="A249" s="1607" t="s">
        <v>66</v>
      </c>
      <c r="B249" s="1608"/>
      <c r="C249" s="1608"/>
      <c r="D249" s="1608"/>
      <c r="E249" s="1608"/>
      <c r="F249" s="1609"/>
      <c r="G249" s="115">
        <f>SUMIF(F14:F240,"SB(VR)",G14:G240)</f>
        <v>0</v>
      </c>
      <c r="H249" s="115">
        <f>SUMIF(F14:F240,"SB(VR)",H14:H240)</f>
        <v>0</v>
      </c>
      <c r="I249" s="115">
        <f>SUMIF(F14:F240,"SB(VR)",I14:I240)</f>
        <v>1000</v>
      </c>
      <c r="J249" s="15"/>
      <c r="K249" s="1"/>
      <c r="L249" s="1"/>
      <c r="M249" s="1"/>
    </row>
    <row r="250" spans="1:15" x14ac:dyDescent="0.2">
      <c r="A250" s="1607" t="s">
        <v>20</v>
      </c>
      <c r="B250" s="1608"/>
      <c r="C250" s="1608"/>
      <c r="D250" s="1608"/>
      <c r="E250" s="1608"/>
      <c r="F250" s="1609"/>
      <c r="G250" s="115">
        <f>SUMIF(F14:F240,"SB(P)",G14:G240)</f>
        <v>0</v>
      </c>
      <c r="H250" s="115">
        <f>SUMIF(F14:F240,"SB(P)",H14:H240)</f>
        <v>0</v>
      </c>
      <c r="I250" s="115">
        <f>SUMIF(F14:F240,"SB(P)",I14:I240)</f>
        <v>0</v>
      </c>
      <c r="J250" s="15"/>
      <c r="K250" s="1"/>
      <c r="L250" s="1"/>
      <c r="M250" s="1"/>
    </row>
    <row r="251" spans="1:15" x14ac:dyDescent="0.2">
      <c r="A251" s="1607" t="s">
        <v>84</v>
      </c>
      <c r="B251" s="1608"/>
      <c r="C251" s="1608"/>
      <c r="D251" s="1608"/>
      <c r="E251" s="1608"/>
      <c r="F251" s="1609"/>
      <c r="G251" s="115">
        <f>SUMIF(F16:F240,"SB(VB)",G16:G240)</f>
        <v>315.5</v>
      </c>
      <c r="H251" s="115">
        <f>SUMIF(F16:F240,"SB(VB)",H16:H240)</f>
        <v>354.3</v>
      </c>
      <c r="I251" s="115">
        <f>SUMIF(F16:F240,"SB(VB)",I16:I240)</f>
        <v>85.8</v>
      </c>
    </row>
    <row r="252" spans="1:15" x14ac:dyDescent="0.2">
      <c r="A252" s="1632" t="s">
        <v>153</v>
      </c>
      <c r="B252" s="1633"/>
      <c r="C252" s="1633"/>
      <c r="D252" s="1633"/>
      <c r="E252" s="1633"/>
      <c r="F252" s="1634"/>
      <c r="G252" s="115">
        <f>SUMIF(F47:F234,"SB(KPP)",G47:G234)</f>
        <v>0</v>
      </c>
      <c r="H252" s="115">
        <f>SUMIF(F47:F234,"SB(KPP)",H47:H234)</f>
        <v>0</v>
      </c>
      <c r="I252" s="115">
        <f>SUMIF(F47:F234,"SB(KPP)",I47:I234)</f>
        <v>0</v>
      </c>
      <c r="J252" s="43"/>
      <c r="K252" s="43"/>
      <c r="L252" s="43"/>
      <c r="M252" s="43"/>
    </row>
    <row r="253" spans="1:15" ht="24" customHeight="1" x14ac:dyDescent="0.2">
      <c r="A253" s="1610" t="s">
        <v>191</v>
      </c>
      <c r="B253" s="1611"/>
      <c r="C253" s="1611"/>
      <c r="D253" s="1611"/>
      <c r="E253" s="1611"/>
      <c r="F253" s="1612"/>
      <c r="G253" s="115">
        <f>SUMIF(F14:F238,"SB(ES)",G14:G238)</f>
        <v>3573.9</v>
      </c>
      <c r="H253" s="115">
        <f>SUMIF(F14:F238,"SB(ES)",H14:H238)</f>
        <v>4014.6</v>
      </c>
      <c r="I253" s="115">
        <f>SUMIF(F14:F238,"SB(ES)",I14:I238)</f>
        <v>972.6</v>
      </c>
    </row>
    <row r="254" spans="1:15" ht="14.25" customHeight="1" x14ac:dyDescent="0.2">
      <c r="A254" s="1623" t="s">
        <v>59</v>
      </c>
      <c r="B254" s="1624"/>
      <c r="C254" s="1624"/>
      <c r="D254" s="1624"/>
      <c r="E254" s="1624"/>
      <c r="F254" s="1625"/>
      <c r="G254" s="241">
        <f>SUMIF(F14:F237,"SB(L)",G14:G237)</f>
        <v>1786.5</v>
      </c>
      <c r="H254" s="241">
        <f>SUMIF(F14:F234,"SB(L)",H14:H234)</f>
        <v>0</v>
      </c>
      <c r="I254" s="241">
        <f>SUMIF(F14:F234,"SB(L)",I14:I234)</f>
        <v>0</v>
      </c>
    </row>
    <row r="255" spans="1:15" x14ac:dyDescent="0.2">
      <c r="A255" s="1623" t="s">
        <v>82</v>
      </c>
      <c r="B255" s="1624"/>
      <c r="C255" s="1624"/>
      <c r="D255" s="1624"/>
      <c r="E255" s="1624"/>
      <c r="F255" s="1625"/>
      <c r="G255" s="473">
        <f>SUMIF(F14:F240,"SB(SPL)",G14:G240)</f>
        <v>6.6</v>
      </c>
      <c r="H255" s="473">
        <f>SUMIF(F14:F240,"SB(SPL)",H14:H240)</f>
        <v>0</v>
      </c>
      <c r="I255" s="79">
        <f>SUMIF(F14:F240,"SB(SPL)",I14:I240)</f>
        <v>2000</v>
      </c>
    </row>
    <row r="256" spans="1:15" x14ac:dyDescent="0.2">
      <c r="A256" s="1623" t="s">
        <v>85</v>
      </c>
      <c r="B256" s="1624"/>
      <c r="C256" s="1624"/>
      <c r="D256" s="1624"/>
      <c r="E256" s="1624"/>
      <c r="F256" s="1625"/>
      <c r="G256" s="473">
        <f>SUMIF(F14:F240,"SB(ŽPL)",G14:G240)</f>
        <v>0</v>
      </c>
      <c r="H256" s="79">
        <f>SUMIF(F14:F240,"SB(ŽPL)",H14:H240)</f>
        <v>0</v>
      </c>
      <c r="I256" s="79">
        <f>SUMIF(F14:F240,"SB(ŽPL)",I14:I240)</f>
        <v>0</v>
      </c>
    </row>
    <row r="257" spans="1:20" ht="12" customHeight="1" x14ac:dyDescent="0.2">
      <c r="A257" s="1623" t="s">
        <v>83</v>
      </c>
      <c r="B257" s="1624"/>
      <c r="C257" s="1624"/>
      <c r="D257" s="1624"/>
      <c r="E257" s="1624"/>
      <c r="F257" s="1625"/>
      <c r="G257" s="241">
        <f>SUMIF(F47:F240,"SB(VRL)",G47:G240)</f>
        <v>0</v>
      </c>
      <c r="H257" s="241">
        <f>SUMIF(F47:F240,"SB(VRL)",H47:H240)</f>
        <v>0</v>
      </c>
      <c r="I257" s="241">
        <f>SUMIF(F47:F240,"SB(VRL)",I47:I240)</f>
        <v>0</v>
      </c>
    </row>
    <row r="258" spans="1:20" x14ac:dyDescent="0.2">
      <c r="A258" s="1626" t="s">
        <v>15</v>
      </c>
      <c r="B258" s="1627"/>
      <c r="C258" s="1627"/>
      <c r="D258" s="1627"/>
      <c r="E258" s="1627"/>
      <c r="F258" s="1628"/>
      <c r="G258" s="477">
        <f>SUM(G259:G262)</f>
        <v>1027</v>
      </c>
      <c r="H258" s="579">
        <f t="shared" ref="H258:I258" si="6">SUM(H259:H262)</f>
        <v>3659.5</v>
      </c>
      <c r="I258" s="579">
        <f t="shared" si="6"/>
        <v>2694.2</v>
      </c>
    </row>
    <row r="259" spans="1:20" x14ac:dyDescent="0.2">
      <c r="A259" s="1629" t="s">
        <v>124</v>
      </c>
      <c r="B259" s="1630"/>
      <c r="C259" s="1630"/>
      <c r="D259" s="1630"/>
      <c r="E259" s="1630"/>
      <c r="F259" s="1631"/>
      <c r="G259" s="115">
        <f>SUMIF(F15:F240,"KVJUD",G15:G240)</f>
        <v>0</v>
      </c>
      <c r="H259" s="115">
        <f>SUMIF(F15:F240,"KVJUD",H15:H240)</f>
        <v>0</v>
      </c>
      <c r="I259" s="115">
        <f>SUMIF(F15:F240,"KVJUD",I15:I240)</f>
        <v>0</v>
      </c>
    </row>
    <row r="260" spans="1:20" ht="13.5" customHeight="1" x14ac:dyDescent="0.2">
      <c r="A260" s="1607" t="s">
        <v>22</v>
      </c>
      <c r="B260" s="1608"/>
      <c r="C260" s="1608"/>
      <c r="D260" s="1608"/>
      <c r="E260" s="1608"/>
      <c r="F260" s="1609"/>
      <c r="G260" s="115">
        <f>SUMIF(F14:F240,"LRVB",G14:G240)</f>
        <v>83.3</v>
      </c>
      <c r="H260" s="115">
        <f>SUMIF(F14:F240,"LRVB",H14:H240)</f>
        <v>296.7</v>
      </c>
      <c r="I260" s="115">
        <f>SUMIF(F14:F240,"LRVB",I14:I240)</f>
        <v>218.5</v>
      </c>
    </row>
    <row r="261" spans="1:20" ht="14.25" customHeight="1" x14ac:dyDescent="0.2">
      <c r="A261" s="1610" t="s">
        <v>21</v>
      </c>
      <c r="B261" s="1611"/>
      <c r="C261" s="1611"/>
      <c r="D261" s="1611"/>
      <c r="E261" s="1611"/>
      <c r="F261" s="1612"/>
      <c r="G261" s="78">
        <f>SUMIF(F15:F238,"ES",G15:G238)</f>
        <v>943.7</v>
      </c>
      <c r="H261" s="78">
        <f>SUMIF(F15:F238,"ES",H15:H238)</f>
        <v>3362.8</v>
      </c>
      <c r="I261" s="78">
        <f>SUMIF(F15:F238,"ES",I15:I238)</f>
        <v>2475.6999999999998</v>
      </c>
    </row>
    <row r="262" spans="1:20" ht="15.75" customHeight="1" x14ac:dyDescent="0.2">
      <c r="A262" s="1607" t="s">
        <v>23</v>
      </c>
      <c r="B262" s="1608"/>
      <c r="C262" s="1608"/>
      <c r="D262" s="1608"/>
      <c r="E262" s="1608"/>
      <c r="F262" s="1609"/>
      <c r="G262" s="115">
        <f>SUMIF(F14:F240,"Kt",G14:G240)</f>
        <v>0</v>
      </c>
      <c r="H262" s="115">
        <f>SUMIF(F14:F240,"Kt",H14:H240)</f>
        <v>0</v>
      </c>
      <c r="I262" s="115">
        <f>SUMIF(F14:F240,"Kt",I14:I240)</f>
        <v>0</v>
      </c>
    </row>
    <row r="263" spans="1:20" ht="15" customHeight="1" thickBot="1" x14ac:dyDescent="0.25">
      <c r="A263" s="1613" t="s">
        <v>16</v>
      </c>
      <c r="B263" s="1614"/>
      <c r="C263" s="1614"/>
      <c r="D263" s="1614"/>
      <c r="E263" s="1614"/>
      <c r="F263" s="1615"/>
      <c r="G263" s="360">
        <f>SUM(G245,G258)</f>
        <v>18155.900000000001</v>
      </c>
      <c r="H263" s="360">
        <f>SUM(H245,H258)</f>
        <v>24333.1</v>
      </c>
      <c r="I263" s="360">
        <f>SUM(I245,I258)</f>
        <v>24859.599999999999</v>
      </c>
      <c r="K263" s="3"/>
      <c r="L263" s="3"/>
      <c r="M263" s="3"/>
    </row>
    <row r="264" spans="1:20" x14ac:dyDescent="0.2">
      <c r="G264" s="9"/>
      <c r="H264" s="9"/>
      <c r="I264" s="9"/>
      <c r="J264" s="9"/>
      <c r="K264" s="8"/>
      <c r="L264" s="8"/>
      <c r="M264" s="8"/>
    </row>
    <row r="265" spans="1:20" x14ac:dyDescent="0.2">
      <c r="F265" s="1605"/>
      <c r="G265" s="1606"/>
      <c r="H265" s="1606"/>
      <c r="I265" s="1606"/>
      <c r="J265" s="9"/>
      <c r="K265" s="9"/>
      <c r="L265" s="9"/>
      <c r="M265" s="9"/>
    </row>
    <row r="266" spans="1:20" s="5" customFormat="1" x14ac:dyDescent="0.2">
      <c r="E266" s="12"/>
      <c r="F266" s="19"/>
      <c r="G266" s="14"/>
      <c r="H266" s="14"/>
      <c r="I266" s="14"/>
      <c r="N266" s="3"/>
      <c r="O266" s="3"/>
      <c r="P266" s="3"/>
      <c r="Q266" s="3"/>
      <c r="R266" s="3"/>
      <c r="S266" s="3"/>
      <c r="T266" s="3"/>
    </row>
    <row r="267" spans="1:20" s="5" customFormat="1" x14ac:dyDescent="0.2">
      <c r="E267" s="12"/>
      <c r="F267" s="19"/>
      <c r="G267" s="43"/>
      <c r="H267" s="43"/>
      <c r="I267" s="43"/>
      <c r="N267" s="3"/>
      <c r="O267" s="3"/>
      <c r="P267" s="3"/>
      <c r="Q267" s="3"/>
      <c r="R267" s="3"/>
      <c r="S267" s="3"/>
      <c r="T267" s="3"/>
    </row>
  </sheetData>
  <mergeCells count="182">
    <mergeCell ref="D235:D236"/>
    <mergeCell ref="B15:M15"/>
    <mergeCell ref="C16:M16"/>
    <mergeCell ref="D17:D25"/>
    <mergeCell ref="J17:J25"/>
    <mergeCell ref="I10:I12"/>
    <mergeCell ref="J10:M10"/>
    <mergeCell ref="J11:J12"/>
    <mergeCell ref="K11:M11"/>
    <mergeCell ref="A13:M13"/>
    <mergeCell ref="A14:M14"/>
    <mergeCell ref="E10:E12"/>
    <mergeCell ref="F10:F12"/>
    <mergeCell ref="G10:G12"/>
    <mergeCell ref="H10:H12"/>
    <mergeCell ref="A10:A12"/>
    <mergeCell ref="B10:B12"/>
    <mergeCell ref="C10:C12"/>
    <mergeCell ref="D10:D12"/>
    <mergeCell ref="D41:D43"/>
    <mergeCell ref="J42:J43"/>
    <mergeCell ref="D44:D46"/>
    <mergeCell ref="J44:J45"/>
    <mergeCell ref="D34:D37"/>
    <mergeCell ref="J35:J36"/>
    <mergeCell ref="D38:D40"/>
    <mergeCell ref="J39:J40"/>
    <mergeCell ref="D26:D29"/>
    <mergeCell ref="J27:J28"/>
    <mergeCell ref="D30:D33"/>
    <mergeCell ref="J30:J33"/>
    <mergeCell ref="D58:D59"/>
    <mergeCell ref="D60:E60"/>
    <mergeCell ref="D61:D62"/>
    <mergeCell ref="D52:D53"/>
    <mergeCell ref="J52:J53"/>
    <mergeCell ref="D54:D55"/>
    <mergeCell ref="J54:J55"/>
    <mergeCell ref="D56:D57"/>
    <mergeCell ref="D47:D49"/>
    <mergeCell ref="J47:J49"/>
    <mergeCell ref="D50:D51"/>
    <mergeCell ref="J56:J57"/>
    <mergeCell ref="D68:D71"/>
    <mergeCell ref="E68:E84"/>
    <mergeCell ref="A85:A86"/>
    <mergeCell ref="B85:B86"/>
    <mergeCell ref="C85:C86"/>
    <mergeCell ref="D85:D86"/>
    <mergeCell ref="A63:A67"/>
    <mergeCell ref="B63:B67"/>
    <mergeCell ref="C63:C67"/>
    <mergeCell ref="D63:D67"/>
    <mergeCell ref="D94:F94"/>
    <mergeCell ref="J87:J88"/>
    <mergeCell ref="D89:D91"/>
    <mergeCell ref="E85:E86"/>
    <mergeCell ref="A87:A88"/>
    <mergeCell ref="B87:B88"/>
    <mergeCell ref="C87:C88"/>
    <mergeCell ref="D87:D88"/>
    <mergeCell ref="E87:E88"/>
    <mergeCell ref="A92:A93"/>
    <mergeCell ref="B92:B93"/>
    <mergeCell ref="C92:C93"/>
    <mergeCell ref="D92:D93"/>
    <mergeCell ref="E92:E93"/>
    <mergeCell ref="J92:J93"/>
    <mergeCell ref="E122:E123"/>
    <mergeCell ref="D105:D106"/>
    <mergeCell ref="J105:J106"/>
    <mergeCell ref="A108:A109"/>
    <mergeCell ref="B108:B109"/>
    <mergeCell ref="D108:D109"/>
    <mergeCell ref="E108:E109"/>
    <mergeCell ref="D95:D96"/>
    <mergeCell ref="J95:J96"/>
    <mergeCell ref="D97:D102"/>
    <mergeCell ref="J102:J103"/>
    <mergeCell ref="E118:E120"/>
    <mergeCell ref="D118:D120"/>
    <mergeCell ref="A124:A125"/>
    <mergeCell ref="B124:B125"/>
    <mergeCell ref="C124:C125"/>
    <mergeCell ref="D124:D125"/>
    <mergeCell ref="D110:D111"/>
    <mergeCell ref="A122:A123"/>
    <mergeCell ref="B122:B123"/>
    <mergeCell ref="C122:C123"/>
    <mergeCell ref="D122:D123"/>
    <mergeCell ref="A138:A139"/>
    <mergeCell ref="B138:B139"/>
    <mergeCell ref="C138:C139"/>
    <mergeCell ref="D138:D139"/>
    <mergeCell ref="E138:E139"/>
    <mergeCell ref="J127:J128"/>
    <mergeCell ref="D130:D131"/>
    <mergeCell ref="A136:A137"/>
    <mergeCell ref="B136:B137"/>
    <mergeCell ref="C136:C137"/>
    <mergeCell ref="D136:D137"/>
    <mergeCell ref="E136:E137"/>
    <mergeCell ref="J136:J137"/>
    <mergeCell ref="D133:D134"/>
    <mergeCell ref="C167:F167"/>
    <mergeCell ref="C168:M168"/>
    <mergeCell ref="D171:D173"/>
    <mergeCell ref="J174:J175"/>
    <mergeCell ref="J176:J177"/>
    <mergeCell ref="D140:D143"/>
    <mergeCell ref="D144:D145"/>
    <mergeCell ref="K136:K137"/>
    <mergeCell ref="L136:L137"/>
    <mergeCell ref="M136:M137"/>
    <mergeCell ref="C147:C150"/>
    <mergeCell ref="C159:C162"/>
    <mergeCell ref="C153:C157"/>
    <mergeCell ref="D174:D179"/>
    <mergeCell ref="D169:D170"/>
    <mergeCell ref="N193:O193"/>
    <mergeCell ref="D196:D197"/>
    <mergeCell ref="J196:J197"/>
    <mergeCell ref="D199:D201"/>
    <mergeCell ref="J200:J201"/>
    <mergeCell ref="D184:D185"/>
    <mergeCell ref="E184:E185"/>
    <mergeCell ref="C187:F187"/>
    <mergeCell ref="C188:K188"/>
    <mergeCell ref="D193:D194"/>
    <mergeCell ref="E189:E192"/>
    <mergeCell ref="D189:D192"/>
    <mergeCell ref="D206:D210"/>
    <mergeCell ref="J210:J211"/>
    <mergeCell ref="A204:A205"/>
    <mergeCell ref="B204:B205"/>
    <mergeCell ref="C204:C205"/>
    <mergeCell ref="D204:D205"/>
    <mergeCell ref="E204:E205"/>
    <mergeCell ref="D231:D232"/>
    <mergeCell ref="J231:J232"/>
    <mergeCell ref="D233:D234"/>
    <mergeCell ref="C224:F224"/>
    <mergeCell ref="C225:F225"/>
    <mergeCell ref="D226:D227"/>
    <mergeCell ref="A228:A230"/>
    <mergeCell ref="B228:B230"/>
    <mergeCell ref="C228:C230"/>
    <mergeCell ref="D228:D230"/>
    <mergeCell ref="E228:E230"/>
    <mergeCell ref="A244:F244"/>
    <mergeCell ref="A245:F245"/>
    <mergeCell ref="A246:F246"/>
    <mergeCell ref="A247:F247"/>
    <mergeCell ref="C238:F238"/>
    <mergeCell ref="B239:F239"/>
    <mergeCell ref="J239:M239"/>
    <mergeCell ref="B240:F240"/>
    <mergeCell ref="J240:M240"/>
    <mergeCell ref="A260:F260"/>
    <mergeCell ref="A261:F261"/>
    <mergeCell ref="A262:F262"/>
    <mergeCell ref="A263:F263"/>
    <mergeCell ref="J1:M1"/>
    <mergeCell ref="J2:M2"/>
    <mergeCell ref="A6:L6"/>
    <mergeCell ref="A7:L7"/>
    <mergeCell ref="A8:L8"/>
    <mergeCell ref="I9:L9"/>
    <mergeCell ref="A254:F254"/>
    <mergeCell ref="A255:F255"/>
    <mergeCell ref="A256:F256"/>
    <mergeCell ref="A257:F257"/>
    <mergeCell ref="A258:F258"/>
    <mergeCell ref="A259:F259"/>
    <mergeCell ref="A248:F248"/>
    <mergeCell ref="A249:F249"/>
    <mergeCell ref="A250:F250"/>
    <mergeCell ref="A251:F251"/>
    <mergeCell ref="A252:F252"/>
    <mergeCell ref="A253:F253"/>
    <mergeCell ref="A241:J241"/>
    <mergeCell ref="A243:F243"/>
  </mergeCells>
  <printOptions horizontalCentered="1"/>
  <pageMargins left="0.78740157480314965" right="0.39370078740157483" top="0.39370078740157483" bottom="0.39370078740157483" header="0" footer="0"/>
  <pageSetup paperSize="9" scale="70" orientation="portrait" r:id="rId1"/>
  <rowBreaks count="1" manualBreakCount="1">
    <brk id="123" max="12"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99"/>
  <sheetViews>
    <sheetView zoomScaleNormal="100" zoomScaleSheetLayoutView="100" workbookViewId="0">
      <selection activeCell="Y26" sqref="Y26"/>
    </sheetView>
  </sheetViews>
  <sheetFormatPr defaultRowHeight="12.75" x14ac:dyDescent="0.2"/>
  <cols>
    <col min="1" max="4" width="2.7109375" style="5" customWidth="1"/>
    <col min="5" max="5" width="32" style="5" customWidth="1"/>
    <col min="6" max="6" width="4.5703125" style="12" customWidth="1"/>
    <col min="7" max="7" width="12.28515625" style="684" customWidth="1"/>
    <col min="8" max="8" width="8.28515625" style="19" customWidth="1"/>
    <col min="9" max="12" width="8.85546875" style="5" customWidth="1"/>
    <col min="13" max="13" width="37" style="5" customWidth="1"/>
    <col min="14" max="17" width="4.5703125" style="5" customWidth="1"/>
    <col min="18" max="16384" width="9.140625" style="3"/>
  </cols>
  <sheetData>
    <row r="1" spans="1:17" s="113" customFormat="1" ht="14.25" customHeight="1" x14ac:dyDescent="0.25">
      <c r="M1" s="1874" t="s">
        <v>101</v>
      </c>
      <c r="N1" s="1875"/>
      <c r="O1" s="1875"/>
      <c r="P1" s="1875"/>
      <c r="Q1" s="1875"/>
    </row>
    <row r="2" spans="1:17" s="113" customFormat="1" ht="14.25" customHeight="1" x14ac:dyDescent="0.25">
      <c r="M2" s="520"/>
      <c r="N2" s="941"/>
      <c r="O2" s="941"/>
      <c r="P2" s="941"/>
      <c r="Q2" s="941"/>
    </row>
    <row r="3" spans="1:17" s="47" customFormat="1" ht="15.75" x14ac:dyDescent="0.2">
      <c r="A3" s="1618" t="s">
        <v>328</v>
      </c>
      <c r="B3" s="1618"/>
      <c r="C3" s="1618"/>
      <c r="D3" s="1618"/>
      <c r="E3" s="1618"/>
      <c r="F3" s="1618"/>
      <c r="G3" s="1618"/>
      <c r="H3" s="1618"/>
      <c r="I3" s="1618"/>
      <c r="J3" s="1618"/>
      <c r="K3" s="1618"/>
      <c r="L3" s="1618"/>
      <c r="M3" s="1618"/>
      <c r="N3" s="1618"/>
      <c r="O3" s="1618"/>
      <c r="P3" s="1618"/>
      <c r="Q3" s="1618"/>
    </row>
    <row r="4" spans="1:17" ht="15.75" x14ac:dyDescent="0.2">
      <c r="A4" s="1619" t="s">
        <v>25</v>
      </c>
      <c r="B4" s="1619"/>
      <c r="C4" s="1619"/>
      <c r="D4" s="1619"/>
      <c r="E4" s="1619"/>
      <c r="F4" s="1619"/>
      <c r="G4" s="1619"/>
      <c r="H4" s="1619"/>
      <c r="I4" s="1619"/>
      <c r="J4" s="1619"/>
      <c r="K4" s="1619"/>
      <c r="L4" s="1619"/>
      <c r="M4" s="1619"/>
      <c r="N4" s="1619"/>
      <c r="O4" s="1619"/>
      <c r="P4" s="1619"/>
      <c r="Q4" s="1619"/>
    </row>
    <row r="5" spans="1:17" ht="15.75" x14ac:dyDescent="0.2">
      <c r="A5" s="1620" t="s">
        <v>98</v>
      </c>
      <c r="B5" s="1620"/>
      <c r="C5" s="1620"/>
      <c r="D5" s="1620"/>
      <c r="E5" s="1620"/>
      <c r="F5" s="1620"/>
      <c r="G5" s="1620"/>
      <c r="H5" s="1620"/>
      <c r="I5" s="1620"/>
      <c r="J5" s="1620"/>
      <c r="K5" s="1620"/>
      <c r="L5" s="1620"/>
      <c r="M5" s="1620"/>
      <c r="N5" s="1620"/>
      <c r="O5" s="1620"/>
      <c r="P5" s="1620"/>
      <c r="Q5" s="1620"/>
    </row>
    <row r="6" spans="1:17" ht="13.5" thickBot="1" x14ac:dyDescent="0.25">
      <c r="M6" s="1621" t="s">
        <v>95</v>
      </c>
      <c r="N6" s="1621"/>
      <c r="O6" s="1621"/>
      <c r="P6" s="1621"/>
      <c r="Q6" s="1879"/>
    </row>
    <row r="7" spans="1:17" s="47" customFormat="1" ht="24.75" customHeight="1" x14ac:dyDescent="0.2">
      <c r="A7" s="1798" t="s">
        <v>17</v>
      </c>
      <c r="B7" s="1801" t="s">
        <v>0</v>
      </c>
      <c r="C7" s="1801" t="s">
        <v>1</v>
      </c>
      <c r="D7" s="1801" t="s">
        <v>71</v>
      </c>
      <c r="E7" s="1804" t="s">
        <v>12</v>
      </c>
      <c r="F7" s="1792" t="s">
        <v>2</v>
      </c>
      <c r="G7" s="1876" t="s">
        <v>72</v>
      </c>
      <c r="H7" s="1795" t="s">
        <v>4</v>
      </c>
      <c r="I7" s="1776" t="s">
        <v>203</v>
      </c>
      <c r="J7" s="1776" t="s">
        <v>325</v>
      </c>
      <c r="K7" s="1776" t="s">
        <v>198</v>
      </c>
      <c r="L7" s="1776" t="s">
        <v>326</v>
      </c>
      <c r="M7" s="1779" t="s">
        <v>11</v>
      </c>
      <c r="N7" s="1780"/>
      <c r="O7" s="1780"/>
      <c r="P7" s="1780"/>
      <c r="Q7" s="1781"/>
    </row>
    <row r="8" spans="1:17" s="47" customFormat="1" ht="18.75" customHeight="1" x14ac:dyDescent="0.2">
      <c r="A8" s="1799"/>
      <c r="B8" s="1802"/>
      <c r="C8" s="1802"/>
      <c r="D8" s="1802"/>
      <c r="E8" s="1805"/>
      <c r="F8" s="1793"/>
      <c r="G8" s="1877"/>
      <c r="H8" s="1796"/>
      <c r="I8" s="1777"/>
      <c r="J8" s="1777"/>
      <c r="K8" s="1777"/>
      <c r="L8" s="1777"/>
      <c r="M8" s="1782" t="s">
        <v>12</v>
      </c>
      <c r="N8" s="1784" t="s">
        <v>312</v>
      </c>
      <c r="O8" s="1784"/>
      <c r="P8" s="1784"/>
      <c r="Q8" s="1785"/>
    </row>
    <row r="9" spans="1:17" s="47" customFormat="1" ht="59.25" customHeight="1" thickBot="1" x14ac:dyDescent="0.25">
      <c r="A9" s="1800"/>
      <c r="B9" s="1803"/>
      <c r="C9" s="1803"/>
      <c r="D9" s="1803"/>
      <c r="E9" s="1806"/>
      <c r="F9" s="1794"/>
      <c r="G9" s="1878"/>
      <c r="H9" s="1797"/>
      <c r="I9" s="1778"/>
      <c r="J9" s="1778"/>
      <c r="K9" s="1778"/>
      <c r="L9" s="1778"/>
      <c r="M9" s="1783"/>
      <c r="N9" s="114" t="s">
        <v>102</v>
      </c>
      <c r="O9" s="114" t="s">
        <v>149</v>
      </c>
      <c r="P9" s="114" t="s">
        <v>199</v>
      </c>
      <c r="Q9" s="4" t="s">
        <v>327</v>
      </c>
    </row>
    <row r="10" spans="1:17" s="11" customFormat="1" ht="15" customHeight="1" x14ac:dyDescent="0.2">
      <c r="A10" s="1786" t="s">
        <v>60</v>
      </c>
      <c r="B10" s="1787"/>
      <c r="C10" s="1787"/>
      <c r="D10" s="1787"/>
      <c r="E10" s="1787"/>
      <c r="F10" s="1787"/>
      <c r="G10" s="1787"/>
      <c r="H10" s="1787"/>
      <c r="I10" s="1787"/>
      <c r="J10" s="1787"/>
      <c r="K10" s="1787"/>
      <c r="L10" s="1787"/>
      <c r="M10" s="1787"/>
      <c r="N10" s="1787"/>
      <c r="O10" s="1787"/>
      <c r="P10" s="1787"/>
      <c r="Q10" s="1788"/>
    </row>
    <row r="11" spans="1:17" s="11" customFormat="1" ht="14.25" customHeight="1" x14ac:dyDescent="0.2">
      <c r="A11" s="1789" t="s">
        <v>45</v>
      </c>
      <c r="B11" s="1790"/>
      <c r="C11" s="1790"/>
      <c r="D11" s="1790"/>
      <c r="E11" s="1790"/>
      <c r="F11" s="1790"/>
      <c r="G11" s="1790"/>
      <c r="H11" s="1790"/>
      <c r="I11" s="1790"/>
      <c r="J11" s="1790"/>
      <c r="K11" s="1790"/>
      <c r="L11" s="1790"/>
      <c r="M11" s="1790"/>
      <c r="N11" s="1790"/>
      <c r="O11" s="1790"/>
      <c r="P11" s="1790"/>
      <c r="Q11" s="1791"/>
    </row>
    <row r="12" spans="1:17" ht="15" customHeight="1" x14ac:dyDescent="0.2">
      <c r="A12" s="24" t="s">
        <v>5</v>
      </c>
      <c r="B12" s="1768" t="s">
        <v>61</v>
      </c>
      <c r="C12" s="1769"/>
      <c r="D12" s="1769"/>
      <c r="E12" s="1769"/>
      <c r="F12" s="1769"/>
      <c r="G12" s="1769"/>
      <c r="H12" s="1769"/>
      <c r="I12" s="1769"/>
      <c r="J12" s="1769"/>
      <c r="K12" s="1769"/>
      <c r="L12" s="1769"/>
      <c r="M12" s="1769"/>
      <c r="N12" s="1769"/>
      <c r="O12" s="1769"/>
      <c r="P12" s="1769"/>
      <c r="Q12" s="1770"/>
    </row>
    <row r="13" spans="1:17" ht="15.75" customHeight="1" x14ac:dyDescent="0.2">
      <c r="A13" s="36" t="s">
        <v>5</v>
      </c>
      <c r="B13" s="37" t="s">
        <v>5</v>
      </c>
      <c r="C13" s="1771" t="s">
        <v>41</v>
      </c>
      <c r="D13" s="1772"/>
      <c r="E13" s="1772"/>
      <c r="F13" s="1772"/>
      <c r="G13" s="1772"/>
      <c r="H13" s="1772"/>
      <c r="I13" s="1772"/>
      <c r="J13" s="1772"/>
      <c r="K13" s="1772"/>
      <c r="L13" s="1772"/>
      <c r="M13" s="1772"/>
      <c r="N13" s="1772"/>
      <c r="O13" s="1772"/>
      <c r="P13" s="1772"/>
      <c r="Q13" s="1773"/>
    </row>
    <row r="14" spans="1:17" ht="12" customHeight="1" x14ac:dyDescent="0.2">
      <c r="A14" s="1188" t="s">
        <v>5</v>
      </c>
      <c r="B14" s="1190" t="s">
        <v>5</v>
      </c>
      <c r="C14" s="1194" t="s">
        <v>5</v>
      </c>
      <c r="D14" s="1191"/>
      <c r="E14" s="1707" t="s">
        <v>86</v>
      </c>
      <c r="F14" s="1279" t="s">
        <v>47</v>
      </c>
      <c r="G14" s="1929"/>
      <c r="H14" s="1196" t="s">
        <v>382</v>
      </c>
      <c r="I14" s="226">
        <f>SUMIF(H23:H136,"SB",I23:I136)</f>
        <v>1891.6</v>
      </c>
      <c r="J14" s="226">
        <f>SUMIF(H23:H136,"SB",J23:J136)</f>
        <v>3166.3</v>
      </c>
      <c r="K14" s="226">
        <f>SUMIF(H23:H136,"SB",K23:K136)</f>
        <v>7047.9</v>
      </c>
      <c r="L14" s="226">
        <f>SUMIF(H23:H136,"SB",L23:L136)</f>
        <v>9148.7999999999993</v>
      </c>
      <c r="M14" s="1775"/>
      <c r="N14" s="105"/>
      <c r="O14" s="1197"/>
      <c r="P14" s="1197"/>
      <c r="Q14" s="171"/>
    </row>
    <row r="15" spans="1:17" ht="12" customHeight="1" x14ac:dyDescent="0.2">
      <c r="A15" s="1188"/>
      <c r="B15" s="1190"/>
      <c r="C15" s="1194"/>
      <c r="D15" s="1191"/>
      <c r="E15" s="1774"/>
      <c r="F15" s="1326" t="s">
        <v>388</v>
      </c>
      <c r="G15" s="1930"/>
      <c r="H15" s="179" t="s">
        <v>383</v>
      </c>
      <c r="I15" s="136">
        <f>SUMIF(H23:H136,"SB(L)",I23:I136)</f>
        <v>1289</v>
      </c>
      <c r="J15" s="136">
        <f>SUMIF(H23:H136,"SB(L)",J23:J136)</f>
        <v>933.6</v>
      </c>
      <c r="K15" s="136">
        <f>SUMIF(H23:H136,"SB(L)",K23:K136)</f>
        <v>0</v>
      </c>
      <c r="L15" s="136">
        <f>SUMIF(H23:H136,"SB(L)",L23:L136)</f>
        <v>0</v>
      </c>
      <c r="M15" s="1775"/>
      <c r="N15" s="105"/>
      <c r="O15" s="1197"/>
      <c r="P15" s="1197"/>
      <c r="Q15" s="171"/>
    </row>
    <row r="16" spans="1:17" ht="12" customHeight="1" x14ac:dyDescent="0.2">
      <c r="A16" s="1188"/>
      <c r="B16" s="1190"/>
      <c r="C16" s="1194"/>
      <c r="D16" s="1191"/>
      <c r="E16" s="1707"/>
      <c r="F16" s="1938" t="s">
        <v>260</v>
      </c>
      <c r="G16" s="1930"/>
      <c r="H16" s="179" t="s">
        <v>384</v>
      </c>
      <c r="I16" s="136">
        <f>SUMIF(H23:H136,"SB(VB)",I23:I136)</f>
        <v>0.9</v>
      </c>
      <c r="J16" s="136">
        <f>SUMIF(H23:H136,"SB(VB)",J23:J136)</f>
        <v>315.5</v>
      </c>
      <c r="K16" s="136">
        <f>SUMIF(H23:H136,"SB(VB)",K23:K136)</f>
        <v>354.3</v>
      </c>
      <c r="L16" s="136">
        <f>SUMIF(H23:H136,"SB(VB)",L23:L136)</f>
        <v>85.8</v>
      </c>
      <c r="M16" s="1775"/>
      <c r="N16" s="105"/>
      <c r="O16" s="1197"/>
      <c r="P16" s="1197"/>
      <c r="Q16" s="171"/>
    </row>
    <row r="17" spans="1:19" ht="12" customHeight="1" x14ac:dyDescent="0.2">
      <c r="A17" s="1188"/>
      <c r="B17" s="1190"/>
      <c r="C17" s="1194"/>
      <c r="D17" s="1191"/>
      <c r="E17" s="1707"/>
      <c r="F17" s="1938"/>
      <c r="G17" s="1930"/>
      <c r="H17" s="179" t="s">
        <v>385</v>
      </c>
      <c r="I17" s="136">
        <f>SUMIF(H23:H136,"SB(ES)",I23:I136)</f>
        <v>9.4</v>
      </c>
      <c r="J17" s="136">
        <f>SUMIF(H23:H136,"SB(ES)",J23:J136)</f>
        <v>3573.9</v>
      </c>
      <c r="K17" s="136">
        <f>SUMIF(H23:H136,"SB(ES)",K23:K136)</f>
        <v>4014.6</v>
      </c>
      <c r="L17" s="136">
        <f>SUMIF(H23:H136,"SB(ES)",L23:L136)</f>
        <v>972.6</v>
      </c>
      <c r="M17" s="1775"/>
      <c r="N17" s="105"/>
      <c r="O17" s="1197"/>
      <c r="P17" s="1197"/>
      <c r="Q17" s="171"/>
    </row>
    <row r="18" spans="1:19" ht="12" customHeight="1" x14ac:dyDescent="0.2">
      <c r="A18" s="1188"/>
      <c r="B18" s="1190"/>
      <c r="C18" s="1194"/>
      <c r="D18" s="1191"/>
      <c r="E18" s="1707"/>
      <c r="F18" s="1280"/>
      <c r="G18" s="1930"/>
      <c r="H18" s="179" t="s">
        <v>386</v>
      </c>
      <c r="I18" s="136">
        <f>SUMIF(H23:H136,"ES",I23:I136)</f>
        <v>0</v>
      </c>
      <c r="J18" s="136">
        <f>SUMIF(H23:H136,"ES",J23:J136)</f>
        <v>8.5</v>
      </c>
      <c r="K18" s="136">
        <f>SUMIF(H23:H136,"ES",K23:K136)</f>
        <v>1259.2</v>
      </c>
      <c r="L18" s="136">
        <f>SUMIF(H23:H136,"ES",L23:L136)</f>
        <v>839.5</v>
      </c>
      <c r="M18" s="1775"/>
      <c r="N18" s="105"/>
      <c r="O18" s="1197"/>
      <c r="P18" s="1197"/>
      <c r="Q18" s="171"/>
      <c r="R18" s="8"/>
      <c r="S18" s="8"/>
    </row>
    <row r="19" spans="1:19" ht="12" customHeight="1" x14ac:dyDescent="0.2">
      <c r="A19" s="1188"/>
      <c r="B19" s="1190"/>
      <c r="C19" s="1194"/>
      <c r="D19" s="1191"/>
      <c r="E19" s="1707"/>
      <c r="F19" s="1280"/>
      <c r="G19" s="1930"/>
      <c r="H19" s="179" t="s">
        <v>387</v>
      </c>
      <c r="I19" s="136">
        <f>SUMIF(H23:H136,"LRVB",I23:I136)</f>
        <v>0</v>
      </c>
      <c r="J19" s="136">
        <f>SUMIF(H23:H136,"LRVB",J23:J136)</f>
        <v>0.8</v>
      </c>
      <c r="K19" s="136">
        <f>SUMIF(H23:H136,"LRVB",K23:K136)</f>
        <v>111.1</v>
      </c>
      <c r="L19" s="136">
        <f>SUMIF(H23:H136,"LRVB",L23:L136)</f>
        <v>74.099999999999994</v>
      </c>
      <c r="M19" s="1775"/>
      <c r="N19" s="105"/>
      <c r="O19" s="1197"/>
      <c r="P19" s="1197"/>
      <c r="Q19" s="171"/>
      <c r="R19" s="8"/>
      <c r="S19" s="8"/>
    </row>
    <row r="20" spans="1:19" ht="12" customHeight="1" x14ac:dyDescent="0.2">
      <c r="A20" s="1211"/>
      <c r="B20" s="1212"/>
      <c r="C20" s="1214"/>
      <c r="D20" s="1213"/>
      <c r="E20" s="1707"/>
      <c r="F20" s="1280"/>
      <c r="G20" s="1930"/>
      <c r="H20" s="179" t="s">
        <v>405</v>
      </c>
      <c r="I20" s="136">
        <f>SUMIF(H23:H136,"SB(VR)",I23:I136)</f>
        <v>0</v>
      </c>
      <c r="J20" s="136">
        <f>SUMIF(H23:H136,"SB(VR)",J23:J136)</f>
        <v>0</v>
      </c>
      <c r="K20" s="136">
        <f>SUMIF(H23:H136,"SB(VR)",K23:K136)</f>
        <v>0</v>
      </c>
      <c r="L20" s="136">
        <f ca="1">SUMIF(H23:H136,"SB(VR)",L23:L135)</f>
        <v>1000</v>
      </c>
      <c r="M20" s="1775"/>
      <c r="N20" s="105"/>
      <c r="O20" s="1215"/>
      <c r="P20" s="1215"/>
      <c r="Q20" s="171"/>
      <c r="R20" s="8"/>
      <c r="S20" s="8"/>
    </row>
    <row r="21" spans="1:19" ht="12" customHeight="1" x14ac:dyDescent="0.2">
      <c r="A21" s="1332"/>
      <c r="B21" s="1336"/>
      <c r="C21" s="1345"/>
      <c r="D21" s="1334"/>
      <c r="E21" s="1707"/>
      <c r="F21" s="1280"/>
      <c r="G21" s="1930"/>
      <c r="H21" s="179" t="s">
        <v>441</v>
      </c>
      <c r="I21" s="136">
        <f>SUMIF(H24:H137,"SB(SP)",I24:I137)</f>
        <v>32.700000000000003</v>
      </c>
      <c r="J21" s="136">
        <f>SUMIF(H24:H137,"SB(SP)",J24:J137)</f>
        <v>33.700000000000003</v>
      </c>
      <c r="K21" s="136">
        <f>SUMIF(H24:H137,"SB(SP)",K24:K137)</f>
        <v>33.700000000000003</v>
      </c>
      <c r="L21" s="136">
        <f ca="1">SUMIF(H24:H137,"SB(SP)",L24:L136)</f>
        <v>33.700000000000003</v>
      </c>
      <c r="M21" s="1775"/>
      <c r="N21" s="105"/>
      <c r="O21" s="1352"/>
      <c r="P21" s="1352"/>
      <c r="Q21" s="171"/>
      <c r="R21" s="8"/>
      <c r="S21" s="8"/>
    </row>
    <row r="22" spans="1:19" ht="12" customHeight="1" x14ac:dyDescent="0.2">
      <c r="A22" s="1188"/>
      <c r="B22" s="1190"/>
      <c r="C22" s="1194"/>
      <c r="D22" s="1191"/>
      <c r="E22" s="1707"/>
      <c r="F22" s="1281"/>
      <c r="G22" s="1931"/>
      <c r="H22" s="1196" t="s">
        <v>440</v>
      </c>
      <c r="I22" s="89">
        <f>SUMIF(H23:H136,"SB(SPL)",I23:I136)</f>
        <v>2.6</v>
      </c>
      <c r="J22" s="89">
        <f>SUMIF(H23:H136,"SB(SPL)",J23:J136)</f>
        <v>6.3</v>
      </c>
      <c r="K22" s="89">
        <f>SUMIF(H23:H136,"SB(SPL)",K23:K136)</f>
        <v>0</v>
      </c>
      <c r="L22" s="89">
        <f>SUMIF(H23:H136,"SB(P)",L23:L136)</f>
        <v>2000</v>
      </c>
      <c r="M22" s="1775"/>
      <c r="N22" s="105"/>
      <c r="O22" s="1197"/>
      <c r="P22" s="1197"/>
      <c r="Q22" s="171"/>
      <c r="R22" s="8"/>
      <c r="S22" s="8"/>
    </row>
    <row r="23" spans="1:19" ht="16.5" customHeight="1" x14ac:dyDescent="0.2">
      <c r="A23" s="1188"/>
      <c r="B23" s="1190"/>
      <c r="C23" s="1194"/>
      <c r="D23" s="190" t="s">
        <v>5</v>
      </c>
      <c r="E23" s="1906" t="s">
        <v>145</v>
      </c>
      <c r="F23" s="1941" t="s">
        <v>261</v>
      </c>
      <c r="G23" s="1865" t="s">
        <v>431</v>
      </c>
      <c r="H23" s="575" t="s">
        <v>24</v>
      </c>
      <c r="I23" s="87"/>
      <c r="J23" s="87">
        <v>58.9</v>
      </c>
      <c r="K23" s="87">
        <v>440</v>
      </c>
      <c r="L23" s="87">
        <v>2047.9</v>
      </c>
      <c r="M23" s="1192" t="s">
        <v>87</v>
      </c>
      <c r="N23" s="33">
        <v>1</v>
      </c>
      <c r="O23" s="118">
        <v>1</v>
      </c>
      <c r="P23" s="118"/>
      <c r="Q23" s="173"/>
      <c r="R23" s="8"/>
      <c r="S23" s="8"/>
    </row>
    <row r="24" spans="1:19" ht="13.5" customHeight="1" x14ac:dyDescent="0.2">
      <c r="A24" s="1188"/>
      <c r="B24" s="1190"/>
      <c r="C24" s="1194"/>
      <c r="D24" s="191"/>
      <c r="E24" s="1913"/>
      <c r="F24" s="1941"/>
      <c r="G24" s="1939"/>
      <c r="H24" s="1196" t="s">
        <v>58</v>
      </c>
      <c r="I24" s="226">
        <v>73.099999999999994</v>
      </c>
      <c r="J24" s="226">
        <v>42.5</v>
      </c>
      <c r="K24" s="226"/>
      <c r="L24" s="226"/>
      <c r="M24" s="1763" t="s">
        <v>416</v>
      </c>
      <c r="N24" s="893"/>
      <c r="O24" s="117"/>
      <c r="P24" s="117">
        <v>5</v>
      </c>
      <c r="Q24" s="471">
        <v>35</v>
      </c>
      <c r="R24" s="8"/>
      <c r="S24" s="8"/>
    </row>
    <row r="25" spans="1:19" ht="13.5" customHeight="1" x14ac:dyDescent="0.2">
      <c r="A25" s="1188"/>
      <c r="B25" s="1190"/>
      <c r="C25" s="1194"/>
      <c r="D25" s="191"/>
      <c r="E25" s="1913"/>
      <c r="F25" s="1941"/>
      <c r="G25" s="1940"/>
      <c r="H25" s="1196" t="s">
        <v>320</v>
      </c>
      <c r="I25" s="226"/>
      <c r="J25" s="226"/>
      <c r="K25" s="226"/>
      <c r="L25" s="226">
        <v>1000</v>
      </c>
      <c r="M25" s="1763"/>
      <c r="N25" s="893"/>
      <c r="O25" s="117"/>
      <c r="P25" s="117"/>
      <c r="Q25" s="471"/>
      <c r="R25" s="8"/>
      <c r="S25" s="8"/>
    </row>
    <row r="26" spans="1:19" ht="12.75" customHeight="1" x14ac:dyDescent="0.2">
      <c r="A26" s="1188"/>
      <c r="B26" s="1190"/>
      <c r="C26" s="1194"/>
      <c r="D26" s="191"/>
      <c r="E26" s="1913"/>
      <c r="F26" s="1941"/>
      <c r="G26" s="1940"/>
      <c r="H26" s="1196" t="s">
        <v>168</v>
      </c>
      <c r="I26" s="226"/>
      <c r="J26" s="226"/>
      <c r="K26" s="226"/>
      <c r="L26" s="226"/>
      <c r="M26" s="1763"/>
      <c r="N26" s="893"/>
      <c r="O26" s="117"/>
      <c r="P26" s="117"/>
      <c r="Q26" s="471"/>
      <c r="R26" s="8"/>
      <c r="S26" s="8"/>
    </row>
    <row r="27" spans="1:19" ht="12.75" customHeight="1" x14ac:dyDescent="0.2">
      <c r="A27" s="1188"/>
      <c r="B27" s="1190"/>
      <c r="C27" s="1194"/>
      <c r="D27" s="191"/>
      <c r="E27" s="1913"/>
      <c r="F27" s="1941"/>
      <c r="G27" s="1940"/>
      <c r="H27" s="370" t="s">
        <v>48</v>
      </c>
      <c r="I27" s="89"/>
      <c r="J27" s="89"/>
      <c r="K27" s="89"/>
      <c r="L27" s="89"/>
      <c r="M27" s="701"/>
      <c r="N27" s="584"/>
      <c r="O27" s="470"/>
      <c r="P27" s="470"/>
      <c r="Q27" s="492"/>
      <c r="R27" s="8"/>
      <c r="S27" s="8"/>
    </row>
    <row r="28" spans="1:19" ht="14.25" customHeight="1" x14ac:dyDescent="0.2">
      <c r="A28" s="1188"/>
      <c r="B28" s="1190"/>
      <c r="C28" s="1194"/>
      <c r="D28" s="1898" t="s">
        <v>7</v>
      </c>
      <c r="E28" s="1906" t="s">
        <v>173</v>
      </c>
      <c r="F28" s="1915" t="s">
        <v>404</v>
      </c>
      <c r="G28" s="1275"/>
      <c r="H28" s="575" t="s">
        <v>24</v>
      </c>
      <c r="I28" s="87">
        <v>26</v>
      </c>
      <c r="J28" s="87">
        <v>575.4</v>
      </c>
      <c r="K28" s="87">
        <v>2044.8</v>
      </c>
      <c r="L28" s="87">
        <v>1121.4000000000001</v>
      </c>
      <c r="M28" s="1764" t="s">
        <v>114</v>
      </c>
      <c r="N28" s="33"/>
      <c r="O28" s="118">
        <v>30</v>
      </c>
      <c r="P28" s="118">
        <v>70</v>
      </c>
      <c r="Q28" s="173">
        <v>100</v>
      </c>
      <c r="R28" s="8"/>
      <c r="S28" s="8"/>
    </row>
    <row r="29" spans="1:19" ht="13.5" customHeight="1" x14ac:dyDescent="0.2">
      <c r="A29" s="1188"/>
      <c r="B29" s="1190"/>
      <c r="C29" s="1194"/>
      <c r="D29" s="1685"/>
      <c r="E29" s="1913"/>
      <c r="F29" s="1916"/>
      <c r="G29" s="1275"/>
      <c r="H29" s="1196" t="s">
        <v>58</v>
      </c>
      <c r="I29" s="652">
        <f>322.5+20.3-15</f>
        <v>327.8</v>
      </c>
      <c r="J29" s="226">
        <v>335.8</v>
      </c>
      <c r="K29" s="226"/>
      <c r="L29" s="226"/>
      <c r="M29" s="1910"/>
      <c r="N29" s="784"/>
      <c r="O29" s="117"/>
      <c r="P29" s="117"/>
      <c r="Q29" s="471"/>
    </row>
    <row r="30" spans="1:19" ht="13.5" customHeight="1" x14ac:dyDescent="0.2">
      <c r="A30" s="1188"/>
      <c r="B30" s="1190"/>
      <c r="C30" s="1194"/>
      <c r="D30" s="1685"/>
      <c r="E30" s="1913"/>
      <c r="F30" s="1916"/>
      <c r="G30" s="1275"/>
      <c r="H30" s="1196" t="s">
        <v>392</v>
      </c>
      <c r="I30" s="652"/>
      <c r="J30" s="226"/>
      <c r="K30" s="226"/>
      <c r="L30" s="226">
        <v>2000</v>
      </c>
      <c r="M30" s="1910"/>
      <c r="N30" s="784"/>
      <c r="O30" s="117"/>
      <c r="P30" s="117"/>
      <c r="Q30" s="471"/>
    </row>
    <row r="31" spans="1:19" ht="13.5" customHeight="1" x14ac:dyDescent="0.2">
      <c r="A31" s="1188"/>
      <c r="B31" s="1190"/>
      <c r="C31" s="1194"/>
      <c r="D31" s="1685"/>
      <c r="E31" s="1913"/>
      <c r="F31" s="1916"/>
      <c r="G31" s="1275"/>
      <c r="H31" s="1196" t="s">
        <v>248</v>
      </c>
      <c r="I31" s="652">
        <v>0</v>
      </c>
      <c r="J31" s="226">
        <v>171.5</v>
      </c>
      <c r="K31" s="226">
        <v>171.5</v>
      </c>
      <c r="L31" s="226">
        <v>85.8</v>
      </c>
      <c r="M31" s="1910"/>
      <c r="N31" s="893"/>
      <c r="O31" s="117"/>
      <c r="P31" s="117"/>
      <c r="Q31" s="471"/>
    </row>
    <row r="32" spans="1:19" ht="15" customHeight="1" x14ac:dyDescent="0.2">
      <c r="A32" s="1188"/>
      <c r="B32" s="1190"/>
      <c r="C32" s="1194"/>
      <c r="D32" s="1685"/>
      <c r="E32" s="1913"/>
      <c r="F32" s="1916"/>
      <c r="G32" s="1275"/>
      <c r="H32" s="1196" t="s">
        <v>249</v>
      </c>
      <c r="I32" s="1097">
        <f>969.9-1.6-968.3</f>
        <v>0</v>
      </c>
      <c r="J32" s="226">
        <v>1943</v>
      </c>
      <c r="K32" s="226">
        <v>1943.3</v>
      </c>
      <c r="L32" s="226">
        <v>972.6</v>
      </c>
      <c r="M32" s="1911"/>
      <c r="N32" s="893"/>
      <c r="O32" s="117"/>
      <c r="P32" s="117"/>
      <c r="Q32" s="471"/>
    </row>
    <row r="33" spans="1:20" ht="15.75" customHeight="1" x14ac:dyDescent="0.2">
      <c r="A33" s="1188"/>
      <c r="B33" s="1190"/>
      <c r="C33" s="1194"/>
      <c r="D33" s="1898" t="s">
        <v>26</v>
      </c>
      <c r="E33" s="1906" t="s">
        <v>275</v>
      </c>
      <c r="F33" s="1915" t="s">
        <v>261</v>
      </c>
      <c r="G33" s="1275"/>
      <c r="H33" s="575" t="s">
        <v>24</v>
      </c>
      <c r="I33" s="226">
        <v>0</v>
      </c>
      <c r="J33" s="87">
        <v>280.3</v>
      </c>
      <c r="K33" s="87">
        <v>451.5</v>
      </c>
      <c r="L33" s="87"/>
      <c r="M33" s="1192" t="s">
        <v>87</v>
      </c>
      <c r="N33" s="33"/>
      <c r="O33" s="118"/>
      <c r="P33" s="118"/>
      <c r="Q33" s="173"/>
    </row>
    <row r="34" spans="1:20" ht="16.5" customHeight="1" x14ac:dyDescent="0.2">
      <c r="A34" s="1188"/>
      <c r="B34" s="1190"/>
      <c r="C34" s="1194"/>
      <c r="D34" s="1685"/>
      <c r="E34" s="1913"/>
      <c r="F34" s="1916"/>
      <c r="G34" s="1275"/>
      <c r="H34" s="1196" t="s">
        <v>249</v>
      </c>
      <c r="I34" s="226">
        <f>120.4-120.2</f>
        <v>0.2</v>
      </c>
      <c r="J34" s="226">
        <v>982</v>
      </c>
      <c r="K34" s="226">
        <v>1422.4</v>
      </c>
      <c r="L34" s="226"/>
      <c r="M34" s="1758" t="s">
        <v>415</v>
      </c>
      <c r="N34" s="784"/>
      <c r="O34" s="117">
        <v>35</v>
      </c>
      <c r="P34" s="117">
        <v>100</v>
      </c>
      <c r="Q34" s="471"/>
    </row>
    <row r="35" spans="1:20" ht="18" customHeight="1" x14ac:dyDescent="0.2">
      <c r="A35" s="1188"/>
      <c r="B35" s="1190"/>
      <c r="C35" s="1194"/>
      <c r="D35" s="1685"/>
      <c r="E35" s="1913"/>
      <c r="F35" s="1916"/>
      <c r="G35" s="1275"/>
      <c r="H35" s="1196" t="s">
        <v>58</v>
      </c>
      <c r="I35" s="226">
        <v>67.900000000000006</v>
      </c>
      <c r="J35" s="226">
        <v>20.7</v>
      </c>
      <c r="K35" s="226"/>
      <c r="L35" s="226"/>
      <c r="M35" s="1910"/>
      <c r="N35" s="893"/>
      <c r="O35" s="117"/>
      <c r="P35" s="117"/>
      <c r="Q35" s="471"/>
    </row>
    <row r="36" spans="1:20" ht="13.5" customHeight="1" x14ac:dyDescent="0.2">
      <c r="A36" s="1188"/>
      <c r="B36" s="1190"/>
      <c r="C36" s="1194"/>
      <c r="D36" s="1685"/>
      <c r="E36" s="1913"/>
      <c r="F36" s="1916"/>
      <c r="G36" s="1275"/>
      <c r="H36" s="1196" t="s">
        <v>248</v>
      </c>
      <c r="I36" s="226">
        <f>10.6-10.5</f>
        <v>0.1</v>
      </c>
      <c r="J36" s="226">
        <v>86.7</v>
      </c>
      <c r="K36" s="226">
        <v>125.5</v>
      </c>
      <c r="L36" s="226"/>
      <c r="M36" s="646"/>
      <c r="N36" s="893"/>
      <c r="O36" s="117"/>
      <c r="P36" s="117"/>
      <c r="Q36" s="471"/>
    </row>
    <row r="37" spans="1:20" ht="16.5" customHeight="1" x14ac:dyDescent="0.2">
      <c r="A37" s="1188"/>
      <c r="B37" s="1190"/>
      <c r="C37" s="1194"/>
      <c r="D37" s="1912"/>
      <c r="E37" s="1914"/>
      <c r="F37" s="1917"/>
      <c r="G37" s="1275"/>
      <c r="H37" s="21" t="s">
        <v>48</v>
      </c>
      <c r="I37" s="88"/>
      <c r="J37" s="88"/>
      <c r="K37" s="88"/>
      <c r="L37" s="88"/>
      <c r="M37" s="1193"/>
      <c r="N37" s="65"/>
      <c r="O37" s="119"/>
      <c r="P37" s="119"/>
      <c r="Q37" s="172"/>
    </row>
    <row r="38" spans="1:20" ht="20.25" customHeight="1" x14ac:dyDescent="0.2">
      <c r="A38" s="1188"/>
      <c r="B38" s="1190"/>
      <c r="C38" s="1194"/>
      <c r="D38" s="1191" t="s">
        <v>34</v>
      </c>
      <c r="E38" s="1942" t="s">
        <v>197</v>
      </c>
      <c r="F38" s="1916" t="s">
        <v>390</v>
      </c>
      <c r="G38" s="1275"/>
      <c r="H38" s="142" t="s">
        <v>58</v>
      </c>
      <c r="I38" s="142">
        <f>129.6+15</f>
        <v>144.6</v>
      </c>
      <c r="J38" s="142">
        <v>68.400000000000006</v>
      </c>
      <c r="K38" s="142"/>
      <c r="L38" s="142"/>
      <c r="M38" s="1189" t="s">
        <v>87</v>
      </c>
      <c r="N38" s="117">
        <v>1</v>
      </c>
      <c r="O38" s="117">
        <v>1</v>
      </c>
      <c r="P38" s="117"/>
      <c r="Q38" s="471"/>
    </row>
    <row r="39" spans="1:20" ht="13.5" customHeight="1" x14ac:dyDescent="0.2">
      <c r="A39" s="1188"/>
      <c r="B39" s="1190"/>
      <c r="C39" s="1194"/>
      <c r="D39" s="1191"/>
      <c r="E39" s="1942"/>
      <c r="F39" s="1916"/>
      <c r="G39" s="1275"/>
      <c r="H39" s="142" t="s">
        <v>24</v>
      </c>
      <c r="I39" s="142"/>
      <c r="J39" s="142">
        <v>87</v>
      </c>
      <c r="K39" s="142">
        <v>368.8</v>
      </c>
      <c r="L39" s="142">
        <v>220.5</v>
      </c>
      <c r="M39" s="1758" t="s">
        <v>412</v>
      </c>
      <c r="N39" s="117"/>
      <c r="O39" s="117"/>
      <c r="P39" s="117"/>
      <c r="Q39" s="471"/>
    </row>
    <row r="40" spans="1:20" ht="14.25" customHeight="1" x14ac:dyDescent="0.2">
      <c r="A40" s="1188"/>
      <c r="B40" s="1190"/>
      <c r="C40" s="1194"/>
      <c r="D40" s="1191"/>
      <c r="E40" s="1943"/>
      <c r="F40" s="1916"/>
      <c r="G40" s="1275"/>
      <c r="H40" s="142" t="s">
        <v>48</v>
      </c>
      <c r="I40" s="142"/>
      <c r="J40" s="142">
        <v>8.5</v>
      </c>
      <c r="K40" s="142">
        <v>1259.2</v>
      </c>
      <c r="L40" s="142">
        <v>839.5</v>
      </c>
      <c r="M40" s="1945"/>
      <c r="N40" s="117"/>
      <c r="O40" s="117">
        <v>10</v>
      </c>
      <c r="P40" s="117">
        <v>70</v>
      </c>
      <c r="Q40" s="471">
        <v>100</v>
      </c>
    </row>
    <row r="41" spans="1:20" ht="15" customHeight="1" x14ac:dyDescent="0.2">
      <c r="A41" s="1188"/>
      <c r="B41" s="1190"/>
      <c r="C41" s="1194"/>
      <c r="D41" s="1195"/>
      <c r="E41" s="1943"/>
      <c r="F41" s="1944"/>
      <c r="G41" s="1275"/>
      <c r="H41" s="143" t="s">
        <v>168</v>
      </c>
      <c r="I41" s="88"/>
      <c r="J41" s="88">
        <v>0.8</v>
      </c>
      <c r="K41" s="88">
        <v>111.1</v>
      </c>
      <c r="L41" s="88">
        <v>74.099999999999994</v>
      </c>
      <c r="M41" s="1762"/>
      <c r="N41" s="169"/>
      <c r="O41" s="119"/>
      <c r="P41" s="119"/>
      <c r="Q41" s="172"/>
    </row>
    <row r="42" spans="1:20" ht="16.5" customHeight="1" x14ac:dyDescent="0.2">
      <c r="A42" s="1188"/>
      <c r="B42" s="1190"/>
      <c r="C42" s="1194"/>
      <c r="D42" s="1191" t="s">
        <v>35</v>
      </c>
      <c r="E42" s="1906" t="s">
        <v>144</v>
      </c>
      <c r="F42" s="1915" t="s">
        <v>261</v>
      </c>
      <c r="G42" s="1275"/>
      <c r="H42" s="142" t="s">
        <v>24</v>
      </c>
      <c r="I42" s="142">
        <v>52.3</v>
      </c>
      <c r="J42" s="142">
        <v>85.1</v>
      </c>
      <c r="K42" s="142">
        <v>194.8</v>
      </c>
      <c r="L42" s="142"/>
      <c r="M42" s="1189" t="s">
        <v>87</v>
      </c>
      <c r="N42" s="117">
        <v>1</v>
      </c>
      <c r="O42" s="117"/>
      <c r="P42" s="117"/>
      <c r="Q42" s="471"/>
    </row>
    <row r="43" spans="1:20" ht="16.5" customHeight="1" x14ac:dyDescent="0.2">
      <c r="A43" s="1188"/>
      <c r="B43" s="1190"/>
      <c r="C43" s="1194"/>
      <c r="D43" s="1191"/>
      <c r="E43" s="1913"/>
      <c r="F43" s="1916"/>
      <c r="G43" s="1275"/>
      <c r="H43" s="142" t="s">
        <v>249</v>
      </c>
      <c r="I43" s="142">
        <f>522.8-513.6</f>
        <v>9.1999999999999993</v>
      </c>
      <c r="J43" s="142">
        <v>648.9</v>
      </c>
      <c r="K43" s="142">
        <v>648.9</v>
      </c>
      <c r="L43" s="142"/>
      <c r="M43" s="1758" t="s">
        <v>413</v>
      </c>
      <c r="N43" s="822"/>
      <c r="O43" s="117">
        <v>70</v>
      </c>
      <c r="P43" s="117">
        <v>100</v>
      </c>
      <c r="Q43" s="471"/>
    </row>
    <row r="44" spans="1:20" ht="16.5" customHeight="1" x14ac:dyDescent="0.2">
      <c r="A44" s="1188"/>
      <c r="B44" s="1190"/>
      <c r="C44" s="1194"/>
      <c r="D44" s="1191"/>
      <c r="E44" s="1913"/>
      <c r="F44" s="1916"/>
      <c r="G44" s="1275"/>
      <c r="H44" s="142" t="s">
        <v>58</v>
      </c>
      <c r="I44" s="142">
        <v>28.2</v>
      </c>
      <c r="J44" s="142">
        <v>58.6</v>
      </c>
      <c r="K44" s="142"/>
      <c r="L44" s="142"/>
      <c r="M44" s="1758"/>
      <c r="N44" s="117"/>
      <c r="O44" s="117"/>
      <c r="P44" s="117"/>
      <c r="Q44" s="471"/>
    </row>
    <row r="45" spans="1:20" ht="16.5" customHeight="1" x14ac:dyDescent="0.2">
      <c r="A45" s="1188"/>
      <c r="B45" s="1190"/>
      <c r="C45" s="1194"/>
      <c r="D45" s="1195"/>
      <c r="E45" s="1914"/>
      <c r="F45" s="1917"/>
      <c r="G45" s="1278"/>
      <c r="H45" s="143" t="s">
        <v>248</v>
      </c>
      <c r="I45" s="88">
        <f>46.1-45.3</f>
        <v>0.8</v>
      </c>
      <c r="J45" s="88">
        <v>57.3</v>
      </c>
      <c r="K45" s="88">
        <v>57.3</v>
      </c>
      <c r="L45" s="88"/>
      <c r="M45" s="1762"/>
      <c r="N45" s="119"/>
      <c r="O45" s="119"/>
      <c r="P45" s="119"/>
      <c r="Q45" s="172"/>
    </row>
    <row r="46" spans="1:20" ht="19.5" customHeight="1" x14ac:dyDescent="0.2">
      <c r="A46" s="1198"/>
      <c r="B46" s="1199"/>
      <c r="C46" s="272"/>
      <c r="D46" s="1825" t="s">
        <v>28</v>
      </c>
      <c r="E46" s="1906" t="s">
        <v>381</v>
      </c>
      <c r="F46" s="1599" t="s">
        <v>388</v>
      </c>
      <c r="G46" s="1844" t="s">
        <v>433</v>
      </c>
      <c r="H46" s="53" t="s">
        <v>24</v>
      </c>
      <c r="I46" s="87"/>
      <c r="J46" s="109">
        <v>24</v>
      </c>
      <c r="K46" s="87"/>
      <c r="L46" s="87"/>
      <c r="M46" s="1025" t="s">
        <v>460</v>
      </c>
      <c r="N46" s="1600"/>
      <c r="O46" s="1601">
        <v>100</v>
      </c>
      <c r="P46" s="1602"/>
      <c r="Q46" s="1603"/>
      <c r="T46" s="208"/>
    </row>
    <row r="47" spans="1:20" ht="28.5" customHeight="1" x14ac:dyDescent="0.2">
      <c r="A47" s="1198"/>
      <c r="B47" s="1199"/>
      <c r="C47" s="272"/>
      <c r="D47" s="1809"/>
      <c r="E47" s="1914"/>
      <c r="F47" s="1282" t="s">
        <v>260</v>
      </c>
      <c r="G47" s="1865"/>
      <c r="H47" s="54" t="s">
        <v>24</v>
      </c>
      <c r="I47" s="88"/>
      <c r="J47" s="85"/>
      <c r="K47" s="523"/>
      <c r="L47" s="88">
        <v>140.80000000000001</v>
      </c>
      <c r="M47" s="194" t="s">
        <v>464</v>
      </c>
      <c r="N47" s="65"/>
      <c r="O47" s="154"/>
      <c r="P47" s="154"/>
      <c r="Q47" s="187">
        <v>50</v>
      </c>
    </row>
    <row r="48" spans="1:20" ht="18" customHeight="1" x14ac:dyDescent="0.2">
      <c r="A48" s="915"/>
      <c r="B48" s="917"/>
      <c r="C48" s="273"/>
      <c r="D48" s="1825" t="s">
        <v>36</v>
      </c>
      <c r="E48" s="1906" t="s">
        <v>119</v>
      </c>
      <c r="F48" s="1283" t="s">
        <v>398</v>
      </c>
      <c r="G48" s="1844" t="s">
        <v>432</v>
      </c>
      <c r="H48" s="53" t="s">
        <v>24</v>
      </c>
      <c r="I48" s="87">
        <v>8.1</v>
      </c>
      <c r="J48" s="86">
        <f>400-1.5</f>
        <v>398.5</v>
      </c>
      <c r="K48" s="226">
        <v>414</v>
      </c>
      <c r="L48" s="226"/>
      <c r="M48" s="1763" t="s">
        <v>140</v>
      </c>
      <c r="N48" s="893"/>
      <c r="O48" s="335">
        <v>50</v>
      </c>
      <c r="P48" s="145">
        <v>100</v>
      </c>
      <c r="Q48" s="223"/>
    </row>
    <row r="49" spans="1:20" ht="26.25" customHeight="1" x14ac:dyDescent="0.2">
      <c r="A49" s="915"/>
      <c r="B49" s="917"/>
      <c r="C49" s="938"/>
      <c r="D49" s="1809"/>
      <c r="E49" s="1914"/>
      <c r="F49" s="1282" t="s">
        <v>260</v>
      </c>
      <c r="G49" s="1865"/>
      <c r="H49" s="248" t="s">
        <v>58</v>
      </c>
      <c r="I49" s="88"/>
      <c r="J49" s="523"/>
      <c r="K49" s="88"/>
      <c r="L49" s="88"/>
      <c r="M49" s="1765"/>
      <c r="N49" s="65"/>
      <c r="O49" s="598"/>
      <c r="P49" s="147"/>
      <c r="Q49" s="187"/>
      <c r="S49" s="208"/>
      <c r="T49" s="208"/>
    </row>
    <row r="50" spans="1:20" ht="15" customHeight="1" x14ac:dyDescent="0.2">
      <c r="A50" s="1167"/>
      <c r="B50" s="1168"/>
      <c r="C50" s="273"/>
      <c r="D50" s="1825" t="s">
        <v>29</v>
      </c>
      <c r="E50" s="1936" t="s">
        <v>103</v>
      </c>
      <c r="F50" s="1933" t="s">
        <v>399</v>
      </c>
      <c r="G50" s="1826" t="s">
        <v>432</v>
      </c>
      <c r="H50" s="23" t="s">
        <v>24</v>
      </c>
      <c r="I50" s="226"/>
      <c r="J50" s="109"/>
      <c r="K50" s="87">
        <v>610.6</v>
      </c>
      <c r="L50" s="87">
        <v>712</v>
      </c>
      <c r="M50" s="1180" t="s">
        <v>87</v>
      </c>
      <c r="N50" s="117">
        <v>1</v>
      </c>
      <c r="O50" s="145">
        <v>1</v>
      </c>
      <c r="P50" s="145"/>
      <c r="Q50" s="223"/>
    </row>
    <row r="51" spans="1:20" ht="26.25" customHeight="1" x14ac:dyDescent="0.2">
      <c r="A51" s="1167"/>
      <c r="B51" s="1168"/>
      <c r="C51" s="1169"/>
      <c r="D51" s="1809"/>
      <c r="E51" s="1937"/>
      <c r="F51" s="1934"/>
      <c r="G51" s="1826"/>
      <c r="H51" s="248" t="s">
        <v>58</v>
      </c>
      <c r="I51" s="88">
        <f>244+17-242</f>
        <v>19</v>
      </c>
      <c r="J51" s="85">
        <v>16.600000000000001</v>
      </c>
      <c r="K51" s="88"/>
      <c r="L51" s="88"/>
      <c r="M51" s="126" t="s">
        <v>107</v>
      </c>
      <c r="N51" s="119"/>
      <c r="O51" s="147"/>
      <c r="P51" s="147">
        <v>40</v>
      </c>
      <c r="Q51" s="187">
        <v>80</v>
      </c>
    </row>
    <row r="52" spans="1:20" ht="20.25" customHeight="1" x14ac:dyDescent="0.2">
      <c r="A52" s="984"/>
      <c r="B52" s="985"/>
      <c r="C52" s="992"/>
      <c r="D52" s="987" t="s">
        <v>63</v>
      </c>
      <c r="E52" s="1913" t="s">
        <v>352</v>
      </c>
      <c r="F52" s="1323" t="s">
        <v>425</v>
      </c>
      <c r="G52" s="1275"/>
      <c r="H52" s="23" t="s">
        <v>24</v>
      </c>
      <c r="I52" s="226"/>
      <c r="J52" s="86"/>
      <c r="K52" s="226">
        <v>200</v>
      </c>
      <c r="L52" s="226">
        <v>200</v>
      </c>
      <c r="M52" s="1764" t="s">
        <v>353</v>
      </c>
      <c r="N52" s="560"/>
      <c r="O52" s="176"/>
      <c r="P52" s="560">
        <v>50</v>
      </c>
      <c r="Q52" s="427">
        <v>100</v>
      </c>
    </row>
    <row r="53" spans="1:20" ht="21.75" customHeight="1" x14ac:dyDescent="0.2">
      <c r="A53" s="984"/>
      <c r="B53" s="985"/>
      <c r="C53" s="992"/>
      <c r="D53" s="192"/>
      <c r="E53" s="1932"/>
      <c r="F53" s="1324"/>
      <c r="G53" s="1275"/>
      <c r="H53" s="54"/>
      <c r="I53" s="88"/>
      <c r="J53" s="85"/>
      <c r="K53" s="88"/>
      <c r="L53" s="88"/>
      <c r="M53" s="1762"/>
      <c r="N53" s="561"/>
      <c r="O53" s="392"/>
      <c r="P53" s="561"/>
      <c r="Q53" s="484"/>
    </row>
    <row r="54" spans="1:20" ht="18" customHeight="1" x14ac:dyDescent="0.2">
      <c r="A54" s="915"/>
      <c r="B54" s="917"/>
      <c r="C54" s="938"/>
      <c r="D54" s="918" t="s">
        <v>152</v>
      </c>
      <c r="E54" s="1913" t="s">
        <v>210</v>
      </c>
      <c r="F54" s="1323"/>
      <c r="G54" s="1275"/>
      <c r="H54" s="23" t="s">
        <v>24</v>
      </c>
      <c r="I54" s="226"/>
      <c r="J54" s="86"/>
      <c r="K54" s="226">
        <v>800</v>
      </c>
      <c r="L54" s="226">
        <v>2378.3000000000002</v>
      </c>
      <c r="M54" s="1764" t="s">
        <v>211</v>
      </c>
      <c r="N54" s="560"/>
      <c r="O54" s="176"/>
      <c r="P54" s="560">
        <v>30</v>
      </c>
      <c r="Q54" s="427">
        <v>100</v>
      </c>
    </row>
    <row r="55" spans="1:20" ht="21.75" customHeight="1" x14ac:dyDescent="0.2">
      <c r="A55" s="915"/>
      <c r="B55" s="917"/>
      <c r="C55" s="938"/>
      <c r="D55" s="192"/>
      <c r="E55" s="1932"/>
      <c r="F55" s="1324"/>
      <c r="G55" s="1275"/>
      <c r="H55" s="54"/>
      <c r="I55" s="88"/>
      <c r="J55" s="85"/>
      <c r="K55" s="88"/>
      <c r="L55" s="88"/>
      <c r="M55" s="1762"/>
      <c r="N55" s="561"/>
      <c r="O55" s="392"/>
      <c r="P55" s="561"/>
      <c r="Q55" s="484"/>
    </row>
    <row r="56" spans="1:20" ht="27" customHeight="1" x14ac:dyDescent="0.2">
      <c r="A56" s="1112"/>
      <c r="B56" s="1113"/>
      <c r="C56" s="272"/>
      <c r="D56" s="1825" t="s">
        <v>406</v>
      </c>
      <c r="E56" s="1906" t="s">
        <v>166</v>
      </c>
      <c r="F56" s="1323"/>
      <c r="G56" s="1852"/>
      <c r="H56" s="53" t="s">
        <v>58</v>
      </c>
      <c r="I56" s="87"/>
      <c r="J56" s="109">
        <v>238.5</v>
      </c>
      <c r="K56" s="87"/>
      <c r="L56" s="87"/>
      <c r="M56" s="1111" t="s">
        <v>140</v>
      </c>
      <c r="N56" s="153">
        <v>100</v>
      </c>
      <c r="O56" s="400">
        <v>100</v>
      </c>
      <c r="P56" s="146"/>
      <c r="Q56" s="175"/>
      <c r="S56" s="208"/>
    </row>
    <row r="57" spans="1:20" ht="15.75" customHeight="1" x14ac:dyDescent="0.2">
      <c r="A57" s="1112"/>
      <c r="B57" s="1113"/>
      <c r="C57" s="272"/>
      <c r="D57" s="1809"/>
      <c r="E57" s="1914"/>
      <c r="F57" s="1324"/>
      <c r="G57" s="1852"/>
      <c r="H57" s="54" t="s">
        <v>24</v>
      </c>
      <c r="I57" s="88">
        <f>400+8.4+6.5</f>
        <v>414.9</v>
      </c>
      <c r="J57" s="85"/>
      <c r="K57" s="523"/>
      <c r="L57" s="88"/>
      <c r="M57" s="1115"/>
      <c r="N57" s="65"/>
      <c r="O57" s="383"/>
      <c r="P57" s="147"/>
      <c r="Q57" s="187"/>
    </row>
    <row r="58" spans="1:20" ht="12.75" customHeight="1" x14ac:dyDescent="0.2">
      <c r="A58" s="1244"/>
      <c r="B58" s="1245"/>
      <c r="C58" s="272"/>
      <c r="D58" s="1825" t="s">
        <v>402</v>
      </c>
      <c r="E58" s="1906" t="s">
        <v>176</v>
      </c>
      <c r="F58" s="1323"/>
      <c r="G58" s="1852"/>
      <c r="H58" s="53" t="s">
        <v>58</v>
      </c>
      <c r="I58" s="87">
        <v>15</v>
      </c>
      <c r="J58" s="109">
        <v>15</v>
      </c>
      <c r="K58" s="87"/>
      <c r="L58" s="87"/>
      <c r="M58" s="1246" t="s">
        <v>87</v>
      </c>
      <c r="N58" s="117">
        <v>1</v>
      </c>
      <c r="O58" s="153">
        <v>1</v>
      </c>
      <c r="P58" s="146"/>
      <c r="Q58" s="175"/>
    </row>
    <row r="59" spans="1:20" ht="32.25" customHeight="1" x14ac:dyDescent="0.2">
      <c r="A59" s="1244"/>
      <c r="B59" s="1245"/>
      <c r="C59" s="272"/>
      <c r="D59" s="1809"/>
      <c r="E59" s="1914"/>
      <c r="F59" s="1325"/>
      <c r="G59" s="1946"/>
      <c r="H59" s="54" t="s">
        <v>24</v>
      </c>
      <c r="I59" s="88"/>
      <c r="J59" s="85">
        <v>1.5</v>
      </c>
      <c r="K59" s="88"/>
      <c r="L59" s="88"/>
      <c r="M59" s="126"/>
      <c r="N59" s="119"/>
      <c r="O59" s="154"/>
      <c r="P59" s="147"/>
      <c r="Q59" s="187"/>
    </row>
    <row r="60" spans="1:20" ht="12.75" customHeight="1" x14ac:dyDescent="0.2">
      <c r="A60" s="1332"/>
      <c r="B60" s="1333"/>
      <c r="C60" s="272"/>
      <c r="D60" s="1823" t="s">
        <v>448</v>
      </c>
      <c r="E60" s="1824"/>
      <c r="F60" s="1824"/>
      <c r="G60" s="1824"/>
      <c r="H60" s="1368"/>
      <c r="I60" s="1369"/>
      <c r="J60" s="1369"/>
      <c r="K60" s="1369"/>
      <c r="L60" s="1369"/>
      <c r="M60" s="1365"/>
      <c r="N60" s="1366"/>
      <c r="O60" s="1367"/>
      <c r="P60" s="1367"/>
      <c r="Q60" s="1364"/>
    </row>
    <row r="61" spans="1:20" ht="16.5" customHeight="1" x14ac:dyDescent="0.2">
      <c r="A61" s="1198"/>
      <c r="B61" s="1199"/>
      <c r="C61" s="1204"/>
      <c r="D61" s="1334" t="s">
        <v>407</v>
      </c>
      <c r="E61" s="1680" t="s">
        <v>99</v>
      </c>
      <c r="F61" s="599"/>
      <c r="G61" s="1826" t="s">
        <v>434</v>
      </c>
      <c r="H61" s="23" t="s">
        <v>24</v>
      </c>
      <c r="I61" s="226">
        <v>141.30000000000001</v>
      </c>
      <c r="J61" s="86">
        <v>140.1</v>
      </c>
      <c r="K61" s="226">
        <v>140.1</v>
      </c>
      <c r="L61" s="226">
        <v>140.1</v>
      </c>
      <c r="M61" s="44" t="s">
        <v>192</v>
      </c>
      <c r="N61" s="251">
        <v>3.9</v>
      </c>
      <c r="O61" s="116">
        <v>3.9</v>
      </c>
      <c r="P61" s="116">
        <v>3.9</v>
      </c>
      <c r="Q61" s="355">
        <v>3.9</v>
      </c>
    </row>
    <row r="62" spans="1:20" ht="16.5" customHeight="1" x14ac:dyDescent="0.2">
      <c r="A62" s="1198"/>
      <c r="B62" s="1199"/>
      <c r="C62" s="1204"/>
      <c r="D62" s="1200"/>
      <c r="E62" s="1680"/>
      <c r="F62" s="599"/>
      <c r="G62" s="1826"/>
      <c r="H62" s="23"/>
      <c r="I62" s="226"/>
      <c r="J62" s="86"/>
      <c r="K62" s="226"/>
      <c r="L62" s="226"/>
      <c r="M62" s="1205" t="s">
        <v>257</v>
      </c>
      <c r="N62" s="495">
        <v>341</v>
      </c>
      <c r="O62" s="390">
        <v>357</v>
      </c>
      <c r="P62" s="390">
        <v>357</v>
      </c>
      <c r="Q62" s="391">
        <v>357</v>
      </c>
    </row>
    <row r="63" spans="1:20" ht="8.25" customHeight="1" x14ac:dyDescent="0.2">
      <c r="A63" s="1198"/>
      <c r="B63" s="1199"/>
      <c r="C63" s="1204"/>
      <c r="D63" s="1200"/>
      <c r="E63" s="1739"/>
      <c r="F63" s="599"/>
      <c r="G63" s="1826"/>
      <c r="H63" s="35"/>
      <c r="I63" s="226"/>
      <c r="J63" s="86"/>
      <c r="K63" s="226"/>
      <c r="L63" s="226"/>
      <c r="M63" s="256"/>
      <c r="N63" s="252"/>
      <c r="O63" s="483"/>
      <c r="P63" s="483"/>
      <c r="Q63" s="254"/>
    </row>
    <row r="64" spans="1:20" ht="15" customHeight="1" x14ac:dyDescent="0.2">
      <c r="A64" s="1683"/>
      <c r="B64" s="1684"/>
      <c r="C64" s="1807"/>
      <c r="D64" s="1830" t="s">
        <v>408</v>
      </c>
      <c r="E64" s="1679" t="s">
        <v>30</v>
      </c>
      <c r="F64" s="1833" t="s">
        <v>89</v>
      </c>
      <c r="G64" s="1826"/>
      <c r="H64" s="575" t="s">
        <v>24</v>
      </c>
      <c r="I64" s="87">
        <f>15.6+3</f>
        <v>18.600000000000001</v>
      </c>
      <c r="J64" s="109">
        <v>22.4</v>
      </c>
      <c r="K64" s="87">
        <v>22.4</v>
      </c>
      <c r="L64" s="87">
        <v>22.4</v>
      </c>
      <c r="M64" s="996" t="s">
        <v>32</v>
      </c>
      <c r="N64" s="33">
        <v>4</v>
      </c>
      <c r="O64" s="410">
        <v>5</v>
      </c>
      <c r="P64" s="118">
        <v>5</v>
      </c>
      <c r="Q64" s="173">
        <v>5</v>
      </c>
    </row>
    <row r="65" spans="1:17" ht="16.5" customHeight="1" x14ac:dyDescent="0.2">
      <c r="A65" s="1683"/>
      <c r="B65" s="1684"/>
      <c r="C65" s="1807"/>
      <c r="D65" s="1724"/>
      <c r="E65" s="1680"/>
      <c r="F65" s="1834"/>
      <c r="G65" s="1826"/>
      <c r="H65" s="1208"/>
      <c r="I65" s="226"/>
      <c r="J65" s="86"/>
      <c r="K65" s="226"/>
      <c r="L65" s="226"/>
      <c r="M65" s="1206" t="s">
        <v>76</v>
      </c>
      <c r="N65" s="584">
        <v>3</v>
      </c>
      <c r="O65" s="616">
        <v>3</v>
      </c>
      <c r="P65" s="470">
        <v>6</v>
      </c>
      <c r="Q65" s="492">
        <v>6</v>
      </c>
    </row>
    <row r="66" spans="1:17" ht="27" customHeight="1" x14ac:dyDescent="0.2">
      <c r="A66" s="1683"/>
      <c r="B66" s="1684"/>
      <c r="C66" s="1807"/>
      <c r="D66" s="1724"/>
      <c r="E66" s="1680"/>
      <c r="F66" s="1834"/>
      <c r="G66" s="1826"/>
      <c r="H66" s="179" t="s">
        <v>24</v>
      </c>
      <c r="I66" s="136"/>
      <c r="J66" s="1157">
        <v>30</v>
      </c>
      <c r="K66" s="136"/>
      <c r="L66" s="136"/>
      <c r="M66" s="30" t="s">
        <v>466</v>
      </c>
      <c r="N66" s="904"/>
      <c r="O66" s="117">
        <v>100</v>
      </c>
      <c r="P66" s="117"/>
      <c r="Q66" s="471"/>
    </row>
    <row r="67" spans="1:17" ht="16.5" customHeight="1" x14ac:dyDescent="0.2">
      <c r="A67" s="1683"/>
      <c r="B67" s="1684"/>
      <c r="C67" s="1807"/>
      <c r="D67" s="1724"/>
      <c r="E67" s="1680"/>
      <c r="F67" s="1834"/>
      <c r="G67" s="1826"/>
      <c r="H67" s="179" t="s">
        <v>24</v>
      </c>
      <c r="I67" s="136"/>
      <c r="J67" s="1157"/>
      <c r="K67" s="136">
        <v>46.1</v>
      </c>
      <c r="L67" s="136"/>
      <c r="M67" s="30" t="s">
        <v>214</v>
      </c>
      <c r="N67" s="472"/>
      <c r="O67" s="472"/>
      <c r="P67" s="904">
        <v>3</v>
      </c>
      <c r="Q67" s="496"/>
    </row>
    <row r="68" spans="1:17" ht="17.25" customHeight="1" x14ac:dyDescent="0.2">
      <c r="A68" s="1683"/>
      <c r="B68" s="1684"/>
      <c r="C68" s="1807"/>
      <c r="D68" s="1724"/>
      <c r="E68" s="1680"/>
      <c r="F68" s="1834"/>
      <c r="G68" s="1826"/>
      <c r="H68" s="1249" t="s">
        <v>24</v>
      </c>
      <c r="I68" s="1250">
        <f>15-2.2</f>
        <v>12.8</v>
      </c>
      <c r="J68" s="1251"/>
      <c r="K68" s="1250"/>
      <c r="L68" s="137"/>
      <c r="M68" s="1248" t="s">
        <v>313</v>
      </c>
      <c r="N68" s="533">
        <v>1</v>
      </c>
      <c r="O68" s="533">
        <v>1</v>
      </c>
      <c r="P68" s="497"/>
      <c r="Q68" s="498"/>
    </row>
    <row r="69" spans="1:17" ht="17.25" customHeight="1" x14ac:dyDescent="0.2">
      <c r="A69" s="1683"/>
      <c r="B69" s="1684"/>
      <c r="C69" s="1807"/>
      <c r="D69" s="1724"/>
      <c r="E69" s="1680"/>
      <c r="F69" s="1834"/>
      <c r="G69" s="1826"/>
      <c r="H69" s="1252" t="s">
        <v>58</v>
      </c>
      <c r="I69" s="1253"/>
      <c r="J69" s="515">
        <v>12.8</v>
      </c>
      <c r="K69" s="1253"/>
      <c r="L69" s="1253"/>
      <c r="M69" s="1247"/>
      <c r="N69" s="470"/>
      <c r="O69" s="1254"/>
      <c r="P69" s="470"/>
      <c r="Q69" s="492"/>
    </row>
    <row r="70" spans="1:17" ht="16.5" customHeight="1" x14ac:dyDescent="0.2">
      <c r="A70" s="1683"/>
      <c r="B70" s="1684"/>
      <c r="C70" s="1807"/>
      <c r="D70" s="1724"/>
      <c r="E70" s="1680"/>
      <c r="F70" s="1834"/>
      <c r="G70" s="1826"/>
      <c r="H70" s="997" t="s">
        <v>58</v>
      </c>
      <c r="I70" s="998">
        <v>39.5</v>
      </c>
      <c r="J70" s="999"/>
      <c r="K70" s="998"/>
      <c r="L70" s="998"/>
      <c r="M70" s="1818" t="s">
        <v>308</v>
      </c>
      <c r="N70" s="1000">
        <v>100</v>
      </c>
      <c r="O70" s="1000"/>
      <c r="P70" s="117"/>
      <c r="Q70" s="471"/>
    </row>
    <row r="71" spans="1:17" ht="28.5" customHeight="1" x14ac:dyDescent="0.2">
      <c r="A71" s="1683"/>
      <c r="B71" s="1684"/>
      <c r="C71" s="1807"/>
      <c r="D71" s="1724"/>
      <c r="E71" s="1725"/>
      <c r="F71" s="1835"/>
      <c r="G71" s="1827"/>
      <c r="H71" s="1001" t="s">
        <v>24</v>
      </c>
      <c r="I71" s="1002">
        <v>10.7</v>
      </c>
      <c r="J71" s="1003"/>
      <c r="K71" s="1002"/>
      <c r="L71" s="1002"/>
      <c r="M71" s="1819"/>
      <c r="N71" s="1005"/>
      <c r="O71" s="1005"/>
      <c r="P71" s="119"/>
      <c r="Q71" s="172"/>
    </row>
    <row r="72" spans="1:17" ht="18" customHeight="1" x14ac:dyDescent="0.2">
      <c r="A72" s="1198"/>
      <c r="B72" s="1199"/>
      <c r="C72" s="1204"/>
      <c r="D72" s="1830" t="s">
        <v>409</v>
      </c>
      <c r="E72" s="1679" t="s">
        <v>31</v>
      </c>
      <c r="F72" s="1740" t="s">
        <v>399</v>
      </c>
      <c r="G72" s="1274"/>
      <c r="H72" s="1208" t="s">
        <v>24</v>
      </c>
      <c r="I72" s="226">
        <v>122.9</v>
      </c>
      <c r="J72" s="675">
        <v>288.10000000000002</v>
      </c>
      <c r="K72" s="226">
        <v>209.1</v>
      </c>
      <c r="L72" s="226">
        <v>209.1</v>
      </c>
      <c r="M72" s="1158" t="s">
        <v>154</v>
      </c>
      <c r="N72" s="33"/>
      <c r="O72" s="497"/>
      <c r="P72" s="497"/>
      <c r="Q72" s="498"/>
    </row>
    <row r="73" spans="1:17" ht="29.25" customHeight="1" x14ac:dyDescent="0.2">
      <c r="A73" s="1198"/>
      <c r="B73" s="1199"/>
      <c r="C73" s="1204"/>
      <c r="D73" s="1724"/>
      <c r="E73" s="1935"/>
      <c r="F73" s="1741"/>
      <c r="G73" s="1274"/>
      <c r="H73" s="1208" t="s">
        <v>58</v>
      </c>
      <c r="I73" s="226">
        <f>85.8+14.1</f>
        <v>99.9</v>
      </c>
      <c r="J73" s="86"/>
      <c r="K73" s="226"/>
      <c r="L73" s="226"/>
      <c r="M73" s="1207" t="s">
        <v>155</v>
      </c>
      <c r="N73" s="893">
        <v>87</v>
      </c>
      <c r="O73" s="117">
        <v>44</v>
      </c>
      <c r="P73" s="117">
        <v>44</v>
      </c>
      <c r="Q73" s="471">
        <v>44</v>
      </c>
    </row>
    <row r="74" spans="1:17" ht="25.5" customHeight="1" x14ac:dyDescent="0.2">
      <c r="A74" s="1198"/>
      <c r="B74" s="1199"/>
      <c r="C74" s="1204"/>
      <c r="D74" s="1724"/>
      <c r="E74" s="1935"/>
      <c r="F74" s="1741"/>
      <c r="G74" s="1274"/>
      <c r="H74" s="1208"/>
      <c r="I74" s="226"/>
      <c r="J74" s="86"/>
      <c r="K74" s="226"/>
      <c r="L74" s="226"/>
      <c r="M74" s="1201" t="s">
        <v>136</v>
      </c>
      <c r="N74" s="584">
        <v>63</v>
      </c>
      <c r="O74" s="470">
        <v>49</v>
      </c>
      <c r="P74" s="470">
        <v>49</v>
      </c>
      <c r="Q74" s="492">
        <v>49</v>
      </c>
    </row>
    <row r="75" spans="1:17" ht="15" customHeight="1" x14ac:dyDescent="0.2">
      <c r="A75" s="1198"/>
      <c r="B75" s="1199"/>
      <c r="C75" s="1204"/>
      <c r="D75" s="1724"/>
      <c r="E75" s="1935"/>
      <c r="F75" s="1741"/>
      <c r="G75" s="1274"/>
      <c r="H75" s="1208"/>
      <c r="I75" s="226"/>
      <c r="J75" s="86"/>
      <c r="K75" s="226"/>
      <c r="L75" s="226"/>
      <c r="M75" s="595" t="s">
        <v>156</v>
      </c>
      <c r="N75" s="206"/>
      <c r="O75" s="417"/>
      <c r="P75" s="417"/>
      <c r="Q75" s="285"/>
    </row>
    <row r="76" spans="1:17" ht="13.5" customHeight="1" x14ac:dyDescent="0.2">
      <c r="A76" s="1198"/>
      <c r="B76" s="1199"/>
      <c r="C76" s="1204"/>
      <c r="D76" s="1724"/>
      <c r="E76" s="167"/>
      <c r="F76" s="1741"/>
      <c r="G76" s="1274"/>
      <c r="H76" s="1208"/>
      <c r="I76" s="226"/>
      <c r="J76" s="86"/>
      <c r="K76" s="226"/>
      <c r="L76" s="226"/>
      <c r="M76" s="1207" t="s">
        <v>96</v>
      </c>
      <c r="N76" s="893">
        <v>10</v>
      </c>
      <c r="O76" s="117">
        <v>58</v>
      </c>
      <c r="P76" s="117">
        <v>58</v>
      </c>
      <c r="Q76" s="471">
        <v>58</v>
      </c>
    </row>
    <row r="77" spans="1:17" ht="13.5" customHeight="1" x14ac:dyDescent="0.2">
      <c r="A77" s="1198"/>
      <c r="B77" s="1199"/>
      <c r="C77" s="1204"/>
      <c r="D77" s="1724"/>
      <c r="E77" s="167"/>
      <c r="F77" s="1741"/>
      <c r="G77" s="1274"/>
      <c r="H77" s="1208"/>
      <c r="I77" s="226"/>
      <c r="J77" s="86"/>
      <c r="K77" s="226"/>
      <c r="L77" s="226"/>
      <c r="M77" s="1202" t="s">
        <v>33</v>
      </c>
      <c r="N77" s="31" t="s">
        <v>215</v>
      </c>
      <c r="O77" s="222" t="s">
        <v>354</v>
      </c>
      <c r="P77" s="222" t="s">
        <v>354</v>
      </c>
      <c r="Q77" s="286" t="s">
        <v>354</v>
      </c>
    </row>
    <row r="78" spans="1:17" ht="13.5" customHeight="1" x14ac:dyDescent="0.2">
      <c r="A78" s="1198"/>
      <c r="B78" s="1199"/>
      <c r="C78" s="1204"/>
      <c r="D78" s="1724"/>
      <c r="E78" s="167"/>
      <c r="F78" s="1741"/>
      <c r="G78" s="1274"/>
      <c r="H78" s="1208"/>
      <c r="I78" s="226"/>
      <c r="J78" s="86"/>
      <c r="K78" s="226"/>
      <c r="L78" s="226"/>
      <c r="M78" s="1202" t="s">
        <v>75</v>
      </c>
      <c r="N78" s="31" t="s">
        <v>258</v>
      </c>
      <c r="O78" s="222" t="s">
        <v>355</v>
      </c>
      <c r="P78" s="222" t="s">
        <v>355</v>
      </c>
      <c r="Q78" s="286" t="s">
        <v>355</v>
      </c>
    </row>
    <row r="79" spans="1:17" ht="13.5" customHeight="1" x14ac:dyDescent="0.2">
      <c r="A79" s="1198"/>
      <c r="B79" s="1199"/>
      <c r="C79" s="1204"/>
      <c r="D79" s="1724"/>
      <c r="E79" s="167"/>
      <c r="F79" s="1741"/>
      <c r="G79" s="1274"/>
      <c r="H79" s="1208"/>
      <c r="I79" s="226"/>
      <c r="J79" s="86"/>
      <c r="K79" s="226"/>
      <c r="L79" s="226"/>
      <c r="M79" s="1202" t="s">
        <v>216</v>
      </c>
      <c r="N79" s="31" t="s">
        <v>152</v>
      </c>
      <c r="O79" s="222" t="s">
        <v>356</v>
      </c>
      <c r="P79" s="222" t="s">
        <v>356</v>
      </c>
      <c r="Q79" s="286" t="s">
        <v>356</v>
      </c>
    </row>
    <row r="80" spans="1:17" ht="13.5" customHeight="1" x14ac:dyDescent="0.2">
      <c r="A80" s="1198"/>
      <c r="B80" s="1199"/>
      <c r="C80" s="1204"/>
      <c r="D80" s="1724"/>
      <c r="E80" s="167"/>
      <c r="F80" s="1741"/>
      <c r="G80" s="1274"/>
      <c r="H80" s="1208"/>
      <c r="I80" s="226"/>
      <c r="J80" s="86"/>
      <c r="K80" s="226"/>
      <c r="L80" s="226"/>
      <c r="M80" s="1159" t="s">
        <v>204</v>
      </c>
      <c r="N80" s="31" t="s">
        <v>200</v>
      </c>
      <c r="O80" s="222" t="s">
        <v>200</v>
      </c>
      <c r="P80" s="222" t="s">
        <v>200</v>
      </c>
      <c r="Q80" s="286" t="s">
        <v>200</v>
      </c>
    </row>
    <row r="81" spans="1:17" ht="13.5" customHeight="1" x14ac:dyDescent="0.2">
      <c r="A81" s="1198"/>
      <c r="B81" s="1199"/>
      <c r="C81" s="1204"/>
      <c r="D81" s="1724"/>
      <c r="E81" s="167"/>
      <c r="F81" s="1741"/>
      <c r="G81" s="1274"/>
      <c r="H81" s="1208"/>
      <c r="I81" s="226"/>
      <c r="J81" s="86"/>
      <c r="K81" s="226"/>
      <c r="L81" s="226"/>
      <c r="M81" s="1202" t="s">
        <v>217</v>
      </c>
      <c r="N81" s="31" t="s">
        <v>218</v>
      </c>
      <c r="O81" s="222" t="s">
        <v>218</v>
      </c>
      <c r="P81" s="222" t="s">
        <v>218</v>
      </c>
      <c r="Q81" s="286" t="s">
        <v>218</v>
      </c>
    </row>
    <row r="82" spans="1:17" ht="13.5" customHeight="1" x14ac:dyDescent="0.2">
      <c r="A82" s="1198"/>
      <c r="B82" s="1199"/>
      <c r="C82" s="1204"/>
      <c r="D82" s="1724"/>
      <c r="E82" s="167"/>
      <c r="F82" s="1741"/>
      <c r="G82" s="1274"/>
      <c r="H82" s="1208"/>
      <c r="I82" s="226"/>
      <c r="J82" s="86"/>
      <c r="K82" s="226"/>
      <c r="L82" s="226"/>
      <c r="M82" s="587" t="s">
        <v>321</v>
      </c>
      <c r="N82" s="1006" t="s">
        <v>50</v>
      </c>
      <c r="O82" s="222"/>
      <c r="P82" s="222"/>
      <c r="Q82" s="286"/>
    </row>
    <row r="83" spans="1:17" ht="14.25" customHeight="1" x14ac:dyDescent="0.2">
      <c r="A83" s="1198"/>
      <c r="B83" s="1199"/>
      <c r="C83" s="1204"/>
      <c r="D83" s="1724"/>
      <c r="E83" s="167"/>
      <c r="F83" s="1741"/>
      <c r="G83" s="1274"/>
      <c r="H83" s="1208"/>
      <c r="I83" s="226"/>
      <c r="J83" s="86"/>
      <c r="K83" s="226"/>
      <c r="L83" s="226"/>
      <c r="M83" s="595" t="s">
        <v>157</v>
      </c>
      <c r="N83" s="206"/>
      <c r="O83" s="417"/>
      <c r="P83" s="417"/>
      <c r="Q83" s="285"/>
    </row>
    <row r="84" spans="1:17" ht="13.5" customHeight="1" x14ac:dyDescent="0.2">
      <c r="A84" s="1198"/>
      <c r="B84" s="1199"/>
      <c r="C84" s="1204"/>
      <c r="D84" s="1724"/>
      <c r="E84" s="167"/>
      <c r="F84" s="1741"/>
      <c r="G84" s="1274"/>
      <c r="H84" s="1208"/>
      <c r="I84" s="226"/>
      <c r="J84" s="86"/>
      <c r="K84" s="226"/>
      <c r="L84" s="226"/>
      <c r="M84" s="1203" t="s">
        <v>138</v>
      </c>
      <c r="N84" s="288">
        <v>11</v>
      </c>
      <c r="O84" s="332">
        <v>10</v>
      </c>
      <c r="P84" s="332">
        <v>10</v>
      </c>
      <c r="Q84" s="289">
        <v>10</v>
      </c>
    </row>
    <row r="85" spans="1:17" ht="18" customHeight="1" x14ac:dyDescent="0.2">
      <c r="A85" s="1198"/>
      <c r="B85" s="1199"/>
      <c r="C85" s="1204"/>
      <c r="D85" s="1724"/>
      <c r="E85" s="167"/>
      <c r="F85" s="1741"/>
      <c r="G85" s="1274"/>
      <c r="H85" s="1208"/>
      <c r="I85" s="226"/>
      <c r="J85" s="86"/>
      <c r="K85" s="226"/>
      <c r="L85" s="226"/>
      <c r="M85" s="701" t="s">
        <v>137</v>
      </c>
      <c r="N85" s="165" t="s">
        <v>122</v>
      </c>
      <c r="O85" s="257" t="s">
        <v>122</v>
      </c>
      <c r="P85" s="257" t="s">
        <v>122</v>
      </c>
      <c r="Q85" s="166" t="s">
        <v>122</v>
      </c>
    </row>
    <row r="86" spans="1:17" ht="15" customHeight="1" x14ac:dyDescent="0.2">
      <c r="A86" s="1198"/>
      <c r="B86" s="1199"/>
      <c r="C86" s="1204"/>
      <c r="D86" s="1724"/>
      <c r="E86" s="167"/>
      <c r="F86" s="1741"/>
      <c r="G86" s="1274"/>
      <c r="H86" s="1208"/>
      <c r="I86" s="226"/>
      <c r="J86" s="86"/>
      <c r="K86" s="226"/>
      <c r="L86" s="226"/>
      <c r="M86" s="287" t="s">
        <v>158</v>
      </c>
      <c r="N86" s="288"/>
      <c r="O86" s="332"/>
      <c r="P86" s="332"/>
      <c r="Q86" s="289"/>
    </row>
    <row r="87" spans="1:17" ht="28.5" customHeight="1" x14ac:dyDescent="0.2">
      <c r="A87" s="1198"/>
      <c r="B87" s="1199"/>
      <c r="C87" s="1204"/>
      <c r="D87" s="1724"/>
      <c r="E87" s="167"/>
      <c r="F87" s="1741"/>
      <c r="G87" s="1274"/>
      <c r="H87" s="1208"/>
      <c r="I87" s="226"/>
      <c r="J87" s="86"/>
      <c r="K87" s="226"/>
      <c r="L87" s="226"/>
      <c r="M87" s="1203" t="s">
        <v>277</v>
      </c>
      <c r="N87" s="288"/>
      <c r="O87" s="332">
        <v>180</v>
      </c>
      <c r="P87" s="332">
        <v>150</v>
      </c>
      <c r="Q87" s="289">
        <v>150</v>
      </c>
    </row>
    <row r="88" spans="1:17" ht="27.75" customHeight="1" x14ac:dyDescent="0.2">
      <c r="A88" s="1198"/>
      <c r="B88" s="1199"/>
      <c r="C88" s="1204"/>
      <c r="D88" s="1724"/>
      <c r="E88" s="167"/>
      <c r="F88" s="1741"/>
      <c r="G88" s="1274"/>
      <c r="H88" s="1208"/>
      <c r="I88" s="226"/>
      <c r="J88" s="86"/>
      <c r="K88" s="226"/>
      <c r="L88" s="226"/>
      <c r="M88" s="1203" t="s">
        <v>278</v>
      </c>
      <c r="N88" s="228"/>
      <c r="O88" s="648">
        <v>0.7</v>
      </c>
      <c r="P88" s="648">
        <v>0.6</v>
      </c>
      <c r="Q88" s="420">
        <v>0.6</v>
      </c>
    </row>
    <row r="89" spans="1:17" ht="27" customHeight="1" x14ac:dyDescent="0.2">
      <c r="A89" s="1198"/>
      <c r="B89" s="1199"/>
      <c r="C89" s="1204"/>
      <c r="D89" s="1724"/>
      <c r="E89" s="167"/>
      <c r="F89" s="1741"/>
      <c r="G89" s="1274"/>
      <c r="H89" s="1208"/>
      <c r="I89" s="226"/>
      <c r="J89" s="86"/>
      <c r="K89" s="226"/>
      <c r="L89" s="226"/>
      <c r="M89" s="701" t="s">
        <v>183</v>
      </c>
      <c r="N89" s="165">
        <v>1</v>
      </c>
      <c r="O89" s="257">
        <v>1</v>
      </c>
      <c r="P89" s="257" t="s">
        <v>357</v>
      </c>
      <c r="Q89" s="166"/>
    </row>
    <row r="90" spans="1:17" ht="30" customHeight="1" x14ac:dyDescent="0.2">
      <c r="A90" s="1198"/>
      <c r="B90" s="1199"/>
      <c r="C90" s="1204"/>
      <c r="D90" s="1831"/>
      <c r="E90" s="168"/>
      <c r="F90" s="1741"/>
      <c r="G90" s="1274"/>
      <c r="H90" s="248"/>
      <c r="I90" s="88"/>
      <c r="J90" s="85"/>
      <c r="K90" s="88"/>
      <c r="L90" s="88"/>
      <c r="M90" s="1007" t="s">
        <v>269</v>
      </c>
      <c r="N90" s="1008">
        <v>2</v>
      </c>
      <c r="O90" s="418"/>
      <c r="P90" s="418"/>
      <c r="Q90" s="340"/>
    </row>
    <row r="91" spans="1:17" ht="18.75" customHeight="1" x14ac:dyDescent="0.2">
      <c r="A91" s="1683"/>
      <c r="B91" s="1732"/>
      <c r="C91" s="1807"/>
      <c r="D91" s="1836" t="s">
        <v>410</v>
      </c>
      <c r="E91" s="1679" t="s">
        <v>299</v>
      </c>
      <c r="F91" s="1838"/>
      <c r="G91" s="1856" t="s">
        <v>73</v>
      </c>
      <c r="H91" s="1240" t="s">
        <v>24</v>
      </c>
      <c r="I91" s="87">
        <f>152.3-3-11.3</f>
        <v>138</v>
      </c>
      <c r="J91" s="93">
        <f>118+3.5+23.8</f>
        <v>145.30000000000001</v>
      </c>
      <c r="K91" s="93">
        <f>118+3.5</f>
        <v>121.5</v>
      </c>
      <c r="L91" s="93">
        <v>121.5</v>
      </c>
      <c r="M91" s="996" t="s">
        <v>112</v>
      </c>
      <c r="N91" s="33">
        <v>151</v>
      </c>
      <c r="O91" s="410">
        <v>154</v>
      </c>
      <c r="P91" s="118">
        <v>154</v>
      </c>
      <c r="Q91" s="173">
        <v>154</v>
      </c>
    </row>
    <row r="92" spans="1:17" ht="18.75" customHeight="1" x14ac:dyDescent="0.2">
      <c r="A92" s="1683"/>
      <c r="B92" s="1732"/>
      <c r="C92" s="1807"/>
      <c r="D92" s="1837"/>
      <c r="E92" s="1725"/>
      <c r="F92" s="1839"/>
      <c r="G92" s="1849"/>
      <c r="H92" s="365" t="s">
        <v>58</v>
      </c>
      <c r="I92" s="88">
        <v>135.19999999999999</v>
      </c>
      <c r="J92" s="88">
        <v>56.3</v>
      </c>
      <c r="K92" s="88"/>
      <c r="L92" s="88"/>
      <c r="M92" s="1241" t="s">
        <v>317</v>
      </c>
      <c r="N92" s="65">
        <v>1</v>
      </c>
      <c r="O92" s="399">
        <v>1</v>
      </c>
      <c r="P92" s="119"/>
      <c r="Q92" s="172"/>
    </row>
    <row r="93" spans="1:17" ht="15.75" customHeight="1" x14ac:dyDescent="0.2">
      <c r="A93" s="1683"/>
      <c r="B93" s="1732"/>
      <c r="C93" s="1807"/>
      <c r="D93" s="1846" t="s">
        <v>419</v>
      </c>
      <c r="E93" s="1680" t="s">
        <v>251</v>
      </c>
      <c r="F93" s="1816"/>
      <c r="G93" s="1856" t="s">
        <v>172</v>
      </c>
      <c r="H93" s="1240" t="s">
        <v>24</v>
      </c>
      <c r="I93" s="87">
        <v>16.8</v>
      </c>
      <c r="J93" s="87">
        <v>16.8</v>
      </c>
      <c r="K93" s="87">
        <v>16.8</v>
      </c>
      <c r="L93" s="87">
        <v>16.8</v>
      </c>
      <c r="M93" s="1751" t="s">
        <v>252</v>
      </c>
      <c r="N93" s="33">
        <v>2</v>
      </c>
      <c r="O93" s="410">
        <v>2</v>
      </c>
      <c r="P93" s="118">
        <v>2</v>
      </c>
      <c r="Q93" s="173">
        <v>2</v>
      </c>
    </row>
    <row r="94" spans="1:17" ht="25.5" customHeight="1" x14ac:dyDescent="0.2">
      <c r="A94" s="1683"/>
      <c r="B94" s="1732"/>
      <c r="C94" s="1807"/>
      <c r="D94" s="1846"/>
      <c r="E94" s="1680"/>
      <c r="F94" s="1817"/>
      <c r="G94" s="1849"/>
      <c r="H94" s="365"/>
      <c r="I94" s="88"/>
      <c r="J94" s="88"/>
      <c r="K94" s="88"/>
      <c r="L94" s="88"/>
      <c r="M94" s="1755"/>
      <c r="N94" s="65"/>
      <c r="O94" s="399"/>
      <c r="P94" s="119"/>
      <c r="Q94" s="172"/>
    </row>
    <row r="95" spans="1:17" ht="14.25" customHeight="1" x14ac:dyDescent="0.2">
      <c r="A95" s="1219"/>
      <c r="B95" s="1220"/>
      <c r="C95" s="1225"/>
      <c r="D95" s="1582" t="s">
        <v>420</v>
      </c>
      <c r="E95" s="1679" t="s">
        <v>208</v>
      </c>
      <c r="F95" s="1306" t="s">
        <v>47</v>
      </c>
      <c r="G95" s="1926" t="s">
        <v>435</v>
      </c>
      <c r="H95" s="575" t="s">
        <v>24</v>
      </c>
      <c r="I95" s="87">
        <v>10</v>
      </c>
      <c r="J95" s="87"/>
      <c r="K95" s="87">
        <v>84</v>
      </c>
      <c r="L95" s="87"/>
      <c r="M95" s="1221" t="s">
        <v>87</v>
      </c>
      <c r="N95" s="33">
        <v>1</v>
      </c>
      <c r="O95" s="118"/>
      <c r="P95" s="118">
        <v>1</v>
      </c>
      <c r="Q95" s="173"/>
    </row>
    <row r="96" spans="1:17" ht="17.25" customHeight="1" x14ac:dyDescent="0.2">
      <c r="A96" s="1219"/>
      <c r="B96" s="1220"/>
      <c r="C96" s="1225"/>
      <c r="D96" s="191"/>
      <c r="E96" s="1680"/>
      <c r="F96" s="1307" t="s">
        <v>260</v>
      </c>
      <c r="G96" s="1927"/>
      <c r="H96" s="1226" t="s">
        <v>58</v>
      </c>
      <c r="I96" s="226"/>
      <c r="J96" s="226">
        <v>10</v>
      </c>
      <c r="K96" s="226"/>
      <c r="L96" s="226"/>
      <c r="M96" s="1224" t="s">
        <v>209</v>
      </c>
      <c r="N96" s="893"/>
      <c r="O96" s="117"/>
      <c r="P96" s="117"/>
      <c r="Q96" s="471">
        <v>1</v>
      </c>
    </row>
    <row r="97" spans="1:20" ht="12.75" customHeight="1" x14ac:dyDescent="0.2">
      <c r="A97" s="1219"/>
      <c r="B97" s="1220"/>
      <c r="C97" s="1225"/>
      <c r="D97" s="191"/>
      <c r="E97" s="1680"/>
      <c r="F97" s="1814" t="s">
        <v>64</v>
      </c>
      <c r="G97" s="1928"/>
      <c r="H97" s="1226"/>
      <c r="I97" s="226"/>
      <c r="J97" s="226"/>
      <c r="K97" s="226"/>
      <c r="L97" s="226"/>
      <c r="M97" s="1224"/>
      <c r="N97" s="893"/>
      <c r="O97" s="117"/>
      <c r="P97" s="117"/>
      <c r="Q97" s="471"/>
    </row>
    <row r="98" spans="1:20" ht="15" customHeight="1" x14ac:dyDescent="0.2">
      <c r="A98" s="1219"/>
      <c r="B98" s="1220"/>
      <c r="C98" s="1225"/>
      <c r="D98" s="1583"/>
      <c r="E98" s="1725"/>
      <c r="F98" s="1815"/>
      <c r="G98" s="1927"/>
      <c r="H98" s="248"/>
      <c r="I98" s="88"/>
      <c r="J98" s="88"/>
      <c r="K98" s="88"/>
      <c r="L98" s="88"/>
      <c r="M98" s="1222"/>
      <c r="N98" s="65"/>
      <c r="O98" s="119"/>
      <c r="P98" s="119"/>
      <c r="Q98" s="172"/>
    </row>
    <row r="99" spans="1:20" ht="15.75" customHeight="1" x14ac:dyDescent="0.2">
      <c r="A99" s="1683"/>
      <c r="B99" s="1732"/>
      <c r="C99" s="1807"/>
      <c r="D99" s="1846" t="s">
        <v>442</v>
      </c>
      <c r="E99" s="1680" t="s">
        <v>456</v>
      </c>
      <c r="F99" s="1847"/>
      <c r="G99" s="1848" t="s">
        <v>431</v>
      </c>
      <c r="H99" s="1240" t="s">
        <v>58</v>
      </c>
      <c r="I99" s="87"/>
      <c r="J99" s="87">
        <v>10</v>
      </c>
      <c r="K99" s="87"/>
      <c r="L99" s="87"/>
      <c r="M99" s="1751" t="s">
        <v>457</v>
      </c>
      <c r="N99" s="33"/>
      <c r="O99" s="410">
        <v>100</v>
      </c>
      <c r="P99" s="118"/>
      <c r="Q99" s="173"/>
    </row>
    <row r="100" spans="1:20" ht="19.5" customHeight="1" x14ac:dyDescent="0.2">
      <c r="A100" s="1683"/>
      <c r="B100" s="1732"/>
      <c r="C100" s="1807"/>
      <c r="D100" s="1846"/>
      <c r="E100" s="1680"/>
      <c r="F100" s="1817"/>
      <c r="G100" s="1849"/>
      <c r="H100" s="365"/>
      <c r="I100" s="88"/>
      <c r="J100" s="88"/>
      <c r="K100" s="88"/>
      <c r="L100" s="88"/>
      <c r="M100" s="1755"/>
      <c r="N100" s="65"/>
      <c r="O100" s="399"/>
      <c r="P100" s="119"/>
      <c r="Q100" s="172"/>
    </row>
    <row r="101" spans="1:20" ht="12.75" customHeight="1" x14ac:dyDescent="0.2">
      <c r="A101" s="1112"/>
      <c r="B101" s="1113"/>
      <c r="C101" s="272"/>
      <c r="D101" s="1825"/>
      <c r="E101" s="1811" t="s">
        <v>125</v>
      </c>
      <c r="F101" s="1284"/>
      <c r="G101" s="1852"/>
      <c r="H101" s="1009" t="s">
        <v>49</v>
      </c>
      <c r="I101" s="998"/>
      <c r="J101" s="999"/>
      <c r="K101" s="998"/>
      <c r="L101" s="226"/>
      <c r="M101" s="1114" t="s">
        <v>87</v>
      </c>
      <c r="N101" s="145"/>
      <c r="O101" s="152"/>
      <c r="P101" s="145"/>
      <c r="Q101" s="223"/>
    </row>
    <row r="102" spans="1:20" ht="24" customHeight="1" x14ac:dyDescent="0.2">
      <c r="A102" s="1112"/>
      <c r="B102" s="1113"/>
      <c r="C102" s="272"/>
      <c r="D102" s="1809"/>
      <c r="E102" s="1812"/>
      <c r="F102" s="1285"/>
      <c r="G102" s="1852"/>
      <c r="H102" s="1016" t="s">
        <v>24</v>
      </c>
      <c r="I102" s="1002"/>
      <c r="J102" s="1003"/>
      <c r="K102" s="1002"/>
      <c r="L102" s="88"/>
      <c r="M102" s="126" t="s">
        <v>107</v>
      </c>
      <c r="N102" s="119"/>
      <c r="O102" s="154"/>
      <c r="P102" s="147"/>
      <c r="Q102" s="187"/>
    </row>
    <row r="103" spans="1:20" ht="24.75" customHeight="1" x14ac:dyDescent="0.2">
      <c r="A103" s="984"/>
      <c r="B103" s="985"/>
      <c r="C103" s="272"/>
      <c r="D103" s="1808"/>
      <c r="E103" s="1811" t="s">
        <v>126</v>
      </c>
      <c r="F103" s="1284"/>
      <c r="G103" s="1842"/>
      <c r="H103" s="1013" t="s">
        <v>24</v>
      </c>
      <c r="I103" s="1014">
        <v>20.9</v>
      </c>
      <c r="J103" s="1015"/>
      <c r="K103" s="1014"/>
      <c r="L103" s="998"/>
      <c r="M103" s="587" t="s">
        <v>140</v>
      </c>
      <c r="N103" s="1010">
        <v>100</v>
      </c>
      <c r="O103" s="335"/>
      <c r="P103" s="145"/>
      <c r="Q103" s="223"/>
    </row>
    <row r="104" spans="1:20" ht="14.25" customHeight="1" x14ac:dyDescent="0.2">
      <c r="A104" s="984"/>
      <c r="B104" s="985"/>
      <c r="C104" s="272"/>
      <c r="D104" s="1808"/>
      <c r="E104" s="1813"/>
      <c r="F104" s="1209"/>
      <c r="G104" s="1842"/>
      <c r="H104" s="1009" t="s">
        <v>58</v>
      </c>
      <c r="I104" s="998">
        <f>270+7.8</f>
        <v>277.8</v>
      </c>
      <c r="J104" s="999"/>
      <c r="K104" s="998"/>
      <c r="L104" s="998"/>
      <c r="M104" s="1011" t="s">
        <v>128</v>
      </c>
      <c r="N104" s="1010">
        <v>1</v>
      </c>
      <c r="O104" s="335"/>
      <c r="P104" s="145"/>
      <c r="Q104" s="223"/>
    </row>
    <row r="105" spans="1:20" ht="9.75" customHeight="1" x14ac:dyDescent="0.2">
      <c r="A105" s="984"/>
      <c r="B105" s="985"/>
      <c r="C105" s="272"/>
      <c r="D105" s="1809"/>
      <c r="E105" s="1812"/>
      <c r="F105" s="1210"/>
      <c r="G105" s="1842"/>
      <c r="H105" s="1016"/>
      <c r="I105" s="1002"/>
      <c r="J105" s="1003"/>
      <c r="K105" s="1002"/>
      <c r="L105" s="1002"/>
      <c r="M105" s="591"/>
      <c r="N105" s="1012"/>
      <c r="O105" s="383"/>
      <c r="P105" s="147"/>
      <c r="Q105" s="187"/>
    </row>
    <row r="106" spans="1:20" ht="15.75" customHeight="1" x14ac:dyDescent="0.2">
      <c r="A106" s="1563"/>
      <c r="B106" s="1564"/>
      <c r="C106" s="272"/>
      <c r="D106" s="1566"/>
      <c r="E106" s="1811" t="s">
        <v>123</v>
      </c>
      <c r="F106" s="1560"/>
      <c r="G106" s="1565"/>
      <c r="H106" s="1013" t="s">
        <v>58</v>
      </c>
      <c r="I106" s="1014">
        <v>20</v>
      </c>
      <c r="J106" s="1015"/>
      <c r="K106" s="1014"/>
      <c r="L106" s="998"/>
      <c r="M106" s="646" t="s">
        <v>87</v>
      </c>
      <c r="N106" s="1000">
        <v>1</v>
      </c>
      <c r="O106" s="1567"/>
      <c r="P106" s="145"/>
      <c r="Q106" s="223"/>
    </row>
    <row r="107" spans="1:20" ht="14.25" customHeight="1" x14ac:dyDescent="0.2">
      <c r="A107" s="1563"/>
      <c r="B107" s="1564"/>
      <c r="C107" s="272"/>
      <c r="D107" s="1562"/>
      <c r="E107" s="1812"/>
      <c r="F107" s="1209"/>
      <c r="G107" s="1565"/>
      <c r="H107" s="1016"/>
      <c r="I107" s="1002"/>
      <c r="J107" s="1003"/>
      <c r="K107" s="1002"/>
      <c r="L107" s="1002"/>
      <c r="M107" s="1561" t="s">
        <v>453</v>
      </c>
      <c r="N107" s="1010"/>
      <c r="O107" s="335"/>
      <c r="P107" s="145"/>
      <c r="Q107" s="223"/>
    </row>
    <row r="108" spans="1:20" ht="14.25" customHeight="1" x14ac:dyDescent="0.2">
      <c r="A108" s="1188"/>
      <c r="B108" s="1190"/>
      <c r="C108" s="1194"/>
      <c r="D108" s="1098"/>
      <c r="E108" s="1893" t="s">
        <v>120</v>
      </c>
      <c r="F108" s="1896"/>
      <c r="G108" s="1276"/>
      <c r="H108" s="1100"/>
      <c r="I108" s="998"/>
      <c r="J108" s="998"/>
      <c r="K108" s="998"/>
      <c r="L108" s="998"/>
      <c r="M108" s="1818" t="s">
        <v>121</v>
      </c>
      <c r="N108" s="1099">
        <v>1</v>
      </c>
      <c r="O108" s="118"/>
      <c r="P108" s="118"/>
      <c r="Q108" s="173"/>
    </row>
    <row r="109" spans="1:20" ht="16.5" customHeight="1" x14ac:dyDescent="0.2">
      <c r="A109" s="1188"/>
      <c r="B109" s="1190"/>
      <c r="C109" s="1194"/>
      <c r="D109" s="1098"/>
      <c r="E109" s="1894"/>
      <c r="F109" s="1896"/>
      <c r="G109" s="1276"/>
      <c r="H109" s="1100" t="s">
        <v>58</v>
      </c>
      <c r="I109" s="998">
        <v>5</v>
      </c>
      <c r="J109" s="1101"/>
      <c r="K109" s="1101"/>
      <c r="L109" s="1101"/>
      <c r="M109" s="1818"/>
      <c r="N109" s="1102"/>
      <c r="O109" s="117"/>
      <c r="P109" s="117"/>
      <c r="Q109" s="471"/>
    </row>
    <row r="110" spans="1:20" ht="15" customHeight="1" x14ac:dyDescent="0.2">
      <c r="A110" s="1188"/>
      <c r="B110" s="1190"/>
      <c r="C110" s="1194"/>
      <c r="D110" s="1103"/>
      <c r="E110" s="1895"/>
      <c r="F110" s="1897"/>
      <c r="G110" s="1277"/>
      <c r="H110" s="1104"/>
      <c r="I110" s="1002"/>
      <c r="J110" s="1002"/>
      <c r="K110" s="1002"/>
      <c r="L110" s="1002"/>
      <c r="M110" s="1819"/>
      <c r="N110" s="1005"/>
      <c r="O110" s="119"/>
      <c r="P110" s="119"/>
      <c r="Q110" s="172"/>
      <c r="S110" s="208"/>
      <c r="T110" s="208"/>
    </row>
    <row r="111" spans="1:20" ht="13.5" customHeight="1" x14ac:dyDescent="0.2">
      <c r="A111" s="1332"/>
      <c r="B111" s="1336"/>
      <c r="C111" s="1345"/>
      <c r="D111" s="1858" t="s">
        <v>439</v>
      </c>
      <c r="E111" s="1859"/>
      <c r="F111" s="1859"/>
      <c r="G111" s="1362"/>
      <c r="H111" s="1362"/>
      <c r="I111" s="1362"/>
      <c r="J111" s="1363"/>
      <c r="K111" s="1356"/>
      <c r="L111" s="1357"/>
      <c r="M111" s="1358"/>
      <c r="N111" s="1359"/>
      <c r="O111" s="1360"/>
      <c r="P111" s="1360"/>
      <c r="Q111" s="1361"/>
      <c r="S111" s="208"/>
      <c r="T111" s="208"/>
    </row>
    <row r="112" spans="1:20" ht="29.25" customHeight="1" x14ac:dyDescent="0.2">
      <c r="A112" s="1332"/>
      <c r="B112" s="1336"/>
      <c r="C112" s="1345"/>
      <c r="D112" s="102" t="s">
        <v>218</v>
      </c>
      <c r="E112" s="1679" t="s">
        <v>105</v>
      </c>
      <c r="F112" s="666"/>
      <c r="G112" s="1844" t="s">
        <v>432</v>
      </c>
      <c r="H112" s="575" t="s">
        <v>24</v>
      </c>
      <c r="I112" s="87">
        <v>10</v>
      </c>
      <c r="J112" s="132">
        <v>10</v>
      </c>
      <c r="K112" s="132">
        <v>10</v>
      </c>
      <c r="L112" s="132">
        <v>10</v>
      </c>
      <c r="M112" s="1764" t="s">
        <v>467</v>
      </c>
      <c r="N112" s="176">
        <v>1</v>
      </c>
      <c r="O112" s="478">
        <v>1</v>
      </c>
      <c r="P112" s="560">
        <v>1</v>
      </c>
      <c r="Q112" s="427">
        <v>1</v>
      </c>
    </row>
    <row r="113" spans="1:17" ht="11.25" customHeight="1" x14ac:dyDescent="0.2">
      <c r="A113" s="1332"/>
      <c r="B113" s="1336"/>
      <c r="C113" s="272"/>
      <c r="D113" s="1349"/>
      <c r="E113" s="1725"/>
      <c r="F113" s="1339"/>
      <c r="G113" s="1845"/>
      <c r="H113" s="21"/>
      <c r="I113" s="88"/>
      <c r="J113" s="131"/>
      <c r="K113" s="131"/>
      <c r="L113" s="131"/>
      <c r="M113" s="1762"/>
      <c r="N113" s="65"/>
      <c r="O113" s="399"/>
      <c r="P113" s="119"/>
      <c r="Q113" s="172"/>
    </row>
    <row r="114" spans="1:17" ht="15.75" customHeight="1" x14ac:dyDescent="0.2">
      <c r="A114" s="1332"/>
      <c r="B114" s="1336"/>
      <c r="C114" s="272"/>
      <c r="D114" s="1346" t="s">
        <v>443</v>
      </c>
      <c r="E114" s="1679" t="s">
        <v>79</v>
      </c>
      <c r="F114" s="1821" t="s">
        <v>65</v>
      </c>
      <c r="G114" s="1826" t="s">
        <v>437</v>
      </c>
      <c r="H114" s="575" t="s">
        <v>24</v>
      </c>
      <c r="I114" s="134">
        <f>751.6-21+8.8</f>
        <v>739.4</v>
      </c>
      <c r="J114" s="133">
        <v>783.7</v>
      </c>
      <c r="K114" s="133">
        <f>790+5</f>
        <v>795</v>
      </c>
      <c r="L114" s="133">
        <f>800+5</f>
        <v>805</v>
      </c>
      <c r="M114" s="300" t="s">
        <v>110</v>
      </c>
      <c r="N114" s="297">
        <v>22.5</v>
      </c>
      <c r="O114" s="610">
        <v>22.5</v>
      </c>
      <c r="P114" s="721">
        <v>22.5</v>
      </c>
      <c r="Q114" s="611">
        <v>22.5</v>
      </c>
    </row>
    <row r="115" spans="1:17" ht="15.75" customHeight="1" x14ac:dyDescent="0.2">
      <c r="A115" s="1332"/>
      <c r="B115" s="1336"/>
      <c r="C115" s="1355"/>
      <c r="D115" s="62"/>
      <c r="E115" s="1680"/>
      <c r="F115" s="1822"/>
      <c r="G115" s="1827"/>
      <c r="H115" s="1351"/>
      <c r="I115" s="226"/>
      <c r="J115" s="569"/>
      <c r="K115" s="569"/>
      <c r="L115" s="569"/>
      <c r="M115" s="1327" t="s">
        <v>111</v>
      </c>
      <c r="N115" s="298">
        <v>108</v>
      </c>
      <c r="O115" s="397">
        <v>108</v>
      </c>
      <c r="P115" s="907">
        <v>108</v>
      </c>
      <c r="Q115" s="422">
        <v>108</v>
      </c>
    </row>
    <row r="116" spans="1:17" ht="15.75" customHeight="1" x14ac:dyDescent="0.2">
      <c r="A116" s="1332"/>
      <c r="B116" s="1333"/>
      <c r="C116" s="1355"/>
      <c r="D116" s="1334"/>
      <c r="E116" s="1680"/>
      <c r="F116" s="1822"/>
      <c r="G116" s="1827"/>
      <c r="H116" s="1351"/>
      <c r="I116" s="226"/>
      <c r="J116" s="569"/>
      <c r="K116" s="569"/>
      <c r="L116" s="569"/>
      <c r="M116" s="177" t="s">
        <v>109</v>
      </c>
      <c r="N116" s="301">
        <v>5</v>
      </c>
      <c r="O116" s="407">
        <v>5</v>
      </c>
      <c r="P116" s="908">
        <v>5</v>
      </c>
      <c r="Q116" s="490">
        <v>5</v>
      </c>
    </row>
    <row r="117" spans="1:17" ht="15.75" customHeight="1" x14ac:dyDescent="0.2">
      <c r="A117" s="1332"/>
      <c r="B117" s="1336"/>
      <c r="C117" s="1355"/>
      <c r="D117" s="1334"/>
      <c r="E117" s="1680"/>
      <c r="F117" s="1822"/>
      <c r="G117" s="1827"/>
      <c r="H117" s="1351"/>
      <c r="I117" s="226"/>
      <c r="J117" s="569"/>
      <c r="K117" s="569"/>
      <c r="L117" s="569"/>
      <c r="M117" s="1342" t="s">
        <v>160</v>
      </c>
      <c r="N117" s="299">
        <v>40</v>
      </c>
      <c r="O117" s="299" t="s">
        <v>365</v>
      </c>
      <c r="P117" s="299" t="s">
        <v>365</v>
      </c>
      <c r="Q117" s="428" t="s">
        <v>365</v>
      </c>
    </row>
    <row r="118" spans="1:17" ht="15.75" customHeight="1" x14ac:dyDescent="0.2">
      <c r="A118" s="1332"/>
      <c r="B118" s="1336"/>
      <c r="C118" s="1355"/>
      <c r="D118" s="1334"/>
      <c r="E118" s="1680"/>
      <c r="F118" s="1822"/>
      <c r="G118" s="1827"/>
      <c r="H118" s="1351"/>
      <c r="I118" s="226"/>
      <c r="J118" s="569"/>
      <c r="K118" s="569"/>
      <c r="L118" s="569"/>
      <c r="M118" s="1027" t="s">
        <v>159</v>
      </c>
      <c r="N118" s="301">
        <v>15</v>
      </c>
      <c r="O118" s="407" t="s">
        <v>152</v>
      </c>
      <c r="P118" s="908" t="s">
        <v>152</v>
      </c>
      <c r="Q118" s="490" t="s">
        <v>152</v>
      </c>
    </row>
    <row r="119" spans="1:17" ht="15" customHeight="1" x14ac:dyDescent="0.2">
      <c r="A119" s="1332"/>
      <c r="B119" s="1336"/>
      <c r="C119" s="1355"/>
      <c r="D119" s="62"/>
      <c r="E119" s="1680"/>
      <c r="F119" s="1822"/>
      <c r="G119" s="1827"/>
      <c r="H119" s="1351" t="s">
        <v>40</v>
      </c>
      <c r="I119" s="226">
        <v>7.7</v>
      </c>
      <c r="J119" s="569">
        <v>7.7</v>
      </c>
      <c r="K119" s="569">
        <v>7.7</v>
      </c>
      <c r="L119" s="569">
        <v>7.7</v>
      </c>
      <c r="M119" s="1742" t="s">
        <v>469</v>
      </c>
      <c r="N119" s="31">
        <v>1</v>
      </c>
      <c r="O119" s="139">
        <v>1</v>
      </c>
      <c r="P119" s="222">
        <v>1</v>
      </c>
      <c r="Q119" s="286">
        <v>1</v>
      </c>
    </row>
    <row r="120" spans="1:17" ht="12.75" customHeight="1" x14ac:dyDescent="0.2">
      <c r="A120" s="1332"/>
      <c r="B120" s="1336"/>
      <c r="C120" s="1355"/>
      <c r="D120" s="62"/>
      <c r="E120" s="345"/>
      <c r="F120" s="1822"/>
      <c r="G120" s="1827"/>
      <c r="H120" s="1351"/>
      <c r="I120" s="226"/>
      <c r="J120" s="569"/>
      <c r="K120" s="569"/>
      <c r="L120" s="569"/>
      <c r="M120" s="1742"/>
      <c r="N120" s="249"/>
      <c r="O120" s="228"/>
      <c r="P120" s="648"/>
      <c r="Q120" s="420"/>
    </row>
    <row r="121" spans="1:17" ht="29.25" customHeight="1" x14ac:dyDescent="0.2">
      <c r="A121" s="1332"/>
      <c r="B121" s="1336"/>
      <c r="C121" s="1355"/>
      <c r="D121" s="62"/>
      <c r="E121" s="1828" t="s">
        <v>244</v>
      </c>
      <c r="F121" s="1304" t="s">
        <v>388</v>
      </c>
      <c r="G121" s="1347"/>
      <c r="H121" s="310" t="s">
        <v>24</v>
      </c>
      <c r="I121" s="137">
        <v>6.1</v>
      </c>
      <c r="J121" s="1031"/>
      <c r="K121" s="1031"/>
      <c r="L121" s="1031"/>
      <c r="M121" s="576" t="s">
        <v>239</v>
      </c>
      <c r="N121" s="643">
        <v>1</v>
      </c>
      <c r="O121" s="577"/>
      <c r="P121" s="1029"/>
      <c r="Q121" s="1030"/>
    </row>
    <row r="122" spans="1:17" ht="29.25" customHeight="1" x14ac:dyDescent="0.2">
      <c r="A122" s="1332"/>
      <c r="B122" s="1336"/>
      <c r="C122" s="1355"/>
      <c r="D122" s="62"/>
      <c r="E122" s="1829"/>
      <c r="F122" s="1305" t="s">
        <v>260</v>
      </c>
      <c r="G122" s="1347"/>
      <c r="H122" s="370" t="s">
        <v>24</v>
      </c>
      <c r="I122" s="89"/>
      <c r="J122" s="567">
        <v>24.2</v>
      </c>
      <c r="K122" s="567"/>
      <c r="L122" s="567"/>
      <c r="M122" s="1151" t="s">
        <v>222</v>
      </c>
      <c r="N122" s="301"/>
      <c r="O122" s="301">
        <v>1</v>
      </c>
      <c r="P122" s="908"/>
      <c r="Q122" s="490"/>
    </row>
    <row r="123" spans="1:17" ht="30" customHeight="1" x14ac:dyDescent="0.2">
      <c r="A123" s="1332"/>
      <c r="B123" s="1336"/>
      <c r="C123" s="1355"/>
      <c r="D123" s="62"/>
      <c r="E123" s="1680" t="s">
        <v>243</v>
      </c>
      <c r="F123" s="374"/>
      <c r="G123" s="1350"/>
      <c r="H123" s="1351" t="s">
        <v>24</v>
      </c>
      <c r="I123" s="226">
        <f>58.8-8.8</f>
        <v>50</v>
      </c>
      <c r="J123" s="569">
        <v>56.5</v>
      </c>
      <c r="K123" s="569">
        <v>51.4</v>
      </c>
      <c r="L123" s="569">
        <v>56.6</v>
      </c>
      <c r="M123" s="1681" t="s">
        <v>400</v>
      </c>
      <c r="N123" s="206" t="s">
        <v>27</v>
      </c>
      <c r="O123" s="284" t="s">
        <v>402</v>
      </c>
      <c r="P123" s="417" t="s">
        <v>27</v>
      </c>
      <c r="Q123" s="285" t="s">
        <v>401</v>
      </c>
    </row>
    <row r="124" spans="1:17" ht="57.75" customHeight="1" x14ac:dyDescent="0.2">
      <c r="A124" s="1332"/>
      <c r="B124" s="1336"/>
      <c r="C124" s="1355"/>
      <c r="D124" s="1334"/>
      <c r="E124" s="1820"/>
      <c r="F124" s="1338"/>
      <c r="G124" s="1347"/>
      <c r="H124" s="1351"/>
      <c r="I124" s="226"/>
      <c r="J124" s="569"/>
      <c r="K124" s="569"/>
      <c r="L124" s="569"/>
      <c r="M124" s="1810"/>
      <c r="N124" s="584"/>
      <c r="O124" s="1308"/>
      <c r="P124" s="470"/>
      <c r="Q124" s="492"/>
    </row>
    <row r="125" spans="1:17" ht="28.5" customHeight="1" x14ac:dyDescent="0.2">
      <c r="A125" s="1332"/>
      <c r="B125" s="1336"/>
      <c r="C125" s="1355"/>
      <c r="D125" s="1334"/>
      <c r="E125" s="1344"/>
      <c r="F125" s="1338"/>
      <c r="G125" s="1347"/>
      <c r="H125" s="248" t="s">
        <v>58</v>
      </c>
      <c r="I125" s="88"/>
      <c r="J125" s="131">
        <v>21.5</v>
      </c>
      <c r="K125" s="131"/>
      <c r="L125" s="131"/>
      <c r="M125" s="1309" t="s">
        <v>424</v>
      </c>
      <c r="N125" s="1012">
        <v>100</v>
      </c>
      <c r="O125" s="399">
        <v>100</v>
      </c>
      <c r="P125" s="119"/>
      <c r="Q125" s="172"/>
    </row>
    <row r="126" spans="1:17" ht="18.75" customHeight="1" x14ac:dyDescent="0.2">
      <c r="A126" s="1683"/>
      <c r="B126" s="1684"/>
      <c r="C126" s="1355"/>
      <c r="D126" s="1830" t="s">
        <v>444</v>
      </c>
      <c r="E126" s="1679" t="s">
        <v>201</v>
      </c>
      <c r="F126" s="1832"/>
      <c r="G126" s="1347"/>
      <c r="H126" s="1351" t="s">
        <v>24</v>
      </c>
      <c r="I126" s="226">
        <f>24.1-1</f>
        <v>23.1</v>
      </c>
      <c r="J126" s="569">
        <v>26.5</v>
      </c>
      <c r="K126" s="569">
        <v>27</v>
      </c>
      <c r="L126" s="569">
        <v>28</v>
      </c>
      <c r="M126" s="1328" t="s">
        <v>130</v>
      </c>
      <c r="N126" s="893">
        <v>2</v>
      </c>
      <c r="O126" s="691">
        <v>2</v>
      </c>
      <c r="P126" s="117">
        <v>2</v>
      </c>
      <c r="Q126" s="471">
        <v>2</v>
      </c>
    </row>
    <row r="127" spans="1:17" ht="21.75" customHeight="1" x14ac:dyDescent="0.2">
      <c r="A127" s="1683"/>
      <c r="B127" s="1684"/>
      <c r="C127" s="1355"/>
      <c r="D127" s="1831"/>
      <c r="E127" s="1725"/>
      <c r="F127" s="1832"/>
      <c r="G127" s="1347"/>
      <c r="H127" s="1351" t="s">
        <v>40</v>
      </c>
      <c r="I127" s="226">
        <v>5</v>
      </c>
      <c r="J127" s="569">
        <v>5</v>
      </c>
      <c r="K127" s="569">
        <v>5</v>
      </c>
      <c r="L127" s="569">
        <f>+I127</f>
        <v>5</v>
      </c>
      <c r="M127" s="1328" t="s">
        <v>111</v>
      </c>
      <c r="N127" s="893">
        <v>5</v>
      </c>
      <c r="O127" s="691">
        <v>5</v>
      </c>
      <c r="P127" s="117">
        <v>5</v>
      </c>
      <c r="Q127" s="471">
        <v>5</v>
      </c>
    </row>
    <row r="128" spans="1:17" ht="15" customHeight="1" x14ac:dyDescent="0.2">
      <c r="A128" s="1332"/>
      <c r="B128" s="1336"/>
      <c r="C128" s="1355"/>
      <c r="D128" s="1335" t="s">
        <v>445</v>
      </c>
      <c r="E128" s="1680" t="s">
        <v>62</v>
      </c>
      <c r="F128" s="1338"/>
      <c r="G128" s="1347"/>
      <c r="H128" s="575" t="s">
        <v>40</v>
      </c>
      <c r="I128" s="87">
        <v>20</v>
      </c>
      <c r="J128" s="132">
        <v>21</v>
      </c>
      <c r="K128" s="132">
        <v>21</v>
      </c>
      <c r="L128" s="132">
        <v>21</v>
      </c>
      <c r="M128" s="1354" t="s">
        <v>110</v>
      </c>
      <c r="N128" s="33">
        <v>2</v>
      </c>
      <c r="O128" s="770">
        <v>2</v>
      </c>
      <c r="P128" s="118">
        <v>2</v>
      </c>
      <c r="Q128" s="173">
        <v>2</v>
      </c>
    </row>
    <row r="129" spans="1:20" ht="18.75" customHeight="1" x14ac:dyDescent="0.2">
      <c r="A129" s="1332"/>
      <c r="B129" s="1336"/>
      <c r="C129" s="272"/>
      <c r="D129" s="1334"/>
      <c r="E129" s="1725"/>
      <c r="F129" s="1339"/>
      <c r="G129" s="1348"/>
      <c r="H129" s="21" t="s">
        <v>80</v>
      </c>
      <c r="I129" s="88">
        <v>2.6</v>
      </c>
      <c r="J129" s="131">
        <v>6.3</v>
      </c>
      <c r="K129" s="131"/>
      <c r="L129" s="131"/>
      <c r="M129" s="1329"/>
      <c r="N129" s="65"/>
      <c r="O129" s="771"/>
      <c r="P129" s="117"/>
      <c r="Q129" s="172"/>
    </row>
    <row r="130" spans="1:20" ht="42" customHeight="1" x14ac:dyDescent="0.2">
      <c r="A130" s="1332"/>
      <c r="B130" s="1336"/>
      <c r="C130" s="272"/>
      <c r="D130" s="1346" t="s">
        <v>446</v>
      </c>
      <c r="E130" s="511" t="s">
        <v>364</v>
      </c>
      <c r="F130" s="1330" t="s">
        <v>65</v>
      </c>
      <c r="G130" s="1857" t="s">
        <v>432</v>
      </c>
      <c r="H130" s="1022" t="s">
        <v>24</v>
      </c>
      <c r="I130" s="1023">
        <v>69.7</v>
      </c>
      <c r="J130" s="1024">
        <v>50</v>
      </c>
      <c r="K130" s="1023"/>
      <c r="L130" s="1023"/>
      <c r="M130" s="1025" t="s">
        <v>362</v>
      </c>
      <c r="N130" s="291"/>
      <c r="O130" s="402">
        <v>5</v>
      </c>
      <c r="P130" s="1301"/>
      <c r="Q130" s="486"/>
    </row>
    <row r="131" spans="1:20" ht="28.5" customHeight="1" x14ac:dyDescent="0.2">
      <c r="A131" s="1332"/>
      <c r="B131" s="1336"/>
      <c r="C131" s="1345"/>
      <c r="D131" s="1334"/>
      <c r="E131" s="1340"/>
      <c r="F131" s="1337"/>
      <c r="G131" s="1857"/>
      <c r="H131" s="179" t="s">
        <v>24</v>
      </c>
      <c r="I131" s="94"/>
      <c r="J131" s="94">
        <v>40</v>
      </c>
      <c r="K131" s="136"/>
      <c r="L131" s="136"/>
      <c r="M131" s="867" t="s">
        <v>470</v>
      </c>
      <c r="N131" s="526"/>
      <c r="O131" s="174">
        <v>1</v>
      </c>
      <c r="P131" s="526"/>
      <c r="Q131" s="1017"/>
    </row>
    <row r="132" spans="1:20" ht="53.25" customHeight="1" x14ac:dyDescent="0.2">
      <c r="A132" s="1332"/>
      <c r="B132" s="1336"/>
      <c r="C132" s="272"/>
      <c r="D132" s="1334"/>
      <c r="E132" s="1331"/>
      <c r="F132" s="1330"/>
      <c r="G132" s="1351"/>
      <c r="H132" s="23" t="s">
        <v>58</v>
      </c>
      <c r="I132" s="226"/>
      <c r="J132" s="569">
        <v>26.9</v>
      </c>
      <c r="K132" s="569"/>
      <c r="L132" s="569"/>
      <c r="M132" s="701" t="s">
        <v>363</v>
      </c>
      <c r="N132" s="178">
        <v>1</v>
      </c>
      <c r="O132" s="403">
        <v>1</v>
      </c>
      <c r="P132" s="719"/>
      <c r="Q132" s="488"/>
    </row>
    <row r="133" spans="1:20" ht="27" customHeight="1" x14ac:dyDescent="0.2">
      <c r="A133" s="1332"/>
      <c r="B133" s="1336"/>
      <c r="C133" s="272"/>
      <c r="D133" s="1349"/>
      <c r="E133" s="1344"/>
      <c r="F133" s="1152"/>
      <c r="G133" s="644"/>
      <c r="H133" s="23"/>
      <c r="I133" s="226"/>
      <c r="J133" s="569"/>
      <c r="K133" s="569"/>
      <c r="L133" s="569"/>
      <c r="M133" s="1160" t="s">
        <v>185</v>
      </c>
      <c r="N133" s="258">
        <v>4</v>
      </c>
      <c r="O133" s="405"/>
      <c r="P133" s="717"/>
      <c r="Q133" s="487"/>
    </row>
    <row r="134" spans="1:20" ht="53.25" customHeight="1" x14ac:dyDescent="0.2">
      <c r="A134" s="1332"/>
      <c r="B134" s="1336"/>
      <c r="C134" s="272"/>
      <c r="D134" s="1334" t="s">
        <v>447</v>
      </c>
      <c r="E134" s="1343" t="s">
        <v>366</v>
      </c>
      <c r="F134" s="1039" t="s">
        <v>65</v>
      </c>
      <c r="G134" s="1351"/>
      <c r="H134" s="1028" t="s">
        <v>24</v>
      </c>
      <c r="I134" s="1023"/>
      <c r="J134" s="1023"/>
      <c r="K134" s="1024"/>
      <c r="L134" s="1024">
        <v>918.4</v>
      </c>
      <c r="M134" s="1025" t="s">
        <v>373</v>
      </c>
      <c r="N134" s="291"/>
      <c r="O134" s="402"/>
      <c r="P134" s="291"/>
      <c r="Q134" s="486">
        <v>100</v>
      </c>
    </row>
    <row r="135" spans="1:20" ht="31.5" customHeight="1" x14ac:dyDescent="0.2">
      <c r="A135" s="1332"/>
      <c r="B135" s="1336"/>
      <c r="C135" s="272"/>
      <c r="D135" s="1349"/>
      <c r="E135" s="1331"/>
      <c r="F135" s="1353"/>
      <c r="G135" s="1351"/>
      <c r="H135" s="1568" t="s">
        <v>58</v>
      </c>
      <c r="I135" s="1569">
        <f>19.4+16.6</f>
        <v>36</v>
      </c>
      <c r="J135" s="1570"/>
      <c r="K135" s="1570"/>
      <c r="L135" s="581"/>
      <c r="M135" s="305" t="s">
        <v>273</v>
      </c>
      <c r="N135" s="1026">
        <v>2</v>
      </c>
      <c r="O135" s="480"/>
      <c r="P135" s="906"/>
      <c r="Q135" s="489"/>
    </row>
    <row r="136" spans="1:20" ht="31.5" customHeight="1" x14ac:dyDescent="0.2">
      <c r="A136" s="1332"/>
      <c r="B136" s="1336"/>
      <c r="C136" s="272"/>
      <c r="D136" s="556" t="s">
        <v>462</v>
      </c>
      <c r="E136" s="1135" t="s">
        <v>393</v>
      </c>
      <c r="F136" s="74"/>
      <c r="G136" s="248"/>
      <c r="H136" s="54" t="s">
        <v>24</v>
      </c>
      <c r="I136" s="88"/>
      <c r="J136" s="131">
        <v>22</v>
      </c>
      <c r="K136" s="581"/>
      <c r="L136" s="581"/>
      <c r="M136" s="194" t="s">
        <v>472</v>
      </c>
      <c r="N136" s="1026"/>
      <c r="O136" s="480">
        <v>1</v>
      </c>
      <c r="P136" s="1165"/>
      <c r="Q136" s="1166"/>
    </row>
    <row r="137" spans="1:20" ht="16.5" customHeight="1" thickBot="1" x14ac:dyDescent="0.25">
      <c r="A137" s="26"/>
      <c r="B137" s="1341"/>
      <c r="C137" s="267"/>
      <c r="D137" s="505"/>
      <c r="E137" s="277"/>
      <c r="F137" s="276"/>
      <c r="G137" s="269"/>
      <c r="H137" s="22" t="s">
        <v>6</v>
      </c>
      <c r="I137" s="155">
        <f>SUM(I23:I136)</f>
        <v>3226.2</v>
      </c>
      <c r="J137" s="155">
        <f>SUM(J23:J136)</f>
        <v>8038.6</v>
      </c>
      <c r="K137" s="155">
        <f>SUM(K23:K136)</f>
        <v>12820.8</v>
      </c>
      <c r="L137" s="155">
        <f>SUM(L23:L136)</f>
        <v>14154.5</v>
      </c>
      <c r="M137" s="268"/>
      <c r="N137" s="280"/>
      <c r="O137" s="280"/>
      <c r="P137" s="280"/>
      <c r="Q137" s="1164"/>
    </row>
    <row r="138" spans="1:20" ht="27" customHeight="1" x14ac:dyDescent="0.2">
      <c r="A138" s="915" t="s">
        <v>5</v>
      </c>
      <c r="B138" s="920" t="s">
        <v>5</v>
      </c>
      <c r="C138" s="938" t="s">
        <v>7</v>
      </c>
      <c r="D138" s="64"/>
      <c r="E138" s="71" t="s">
        <v>53</v>
      </c>
      <c r="F138" s="70"/>
      <c r="G138" s="1850" t="s">
        <v>436</v>
      </c>
      <c r="H138" s="55"/>
      <c r="I138" s="84"/>
      <c r="J138" s="84"/>
      <c r="K138" s="130"/>
      <c r="L138" s="130"/>
      <c r="M138" s="499"/>
      <c r="N138" s="122"/>
      <c r="O138" s="479"/>
      <c r="P138" s="905"/>
      <c r="Q138" s="485"/>
      <c r="T138" s="208"/>
    </row>
    <row r="139" spans="1:20" ht="27.75" customHeight="1" x14ac:dyDescent="0.2">
      <c r="A139" s="1683"/>
      <c r="B139" s="1732"/>
      <c r="C139" s="1807"/>
      <c r="D139" s="1724" t="s">
        <v>5</v>
      </c>
      <c r="E139" s="1679" t="s">
        <v>68</v>
      </c>
      <c r="F139" s="1740"/>
      <c r="G139" s="1851"/>
      <c r="H139" s="7" t="s">
        <v>24</v>
      </c>
      <c r="I139" s="108">
        <v>2610.6999999999998</v>
      </c>
      <c r="J139" s="93">
        <v>3092.7</v>
      </c>
      <c r="K139" s="87">
        <v>3222.7</v>
      </c>
      <c r="L139" s="87">
        <v>3222.7</v>
      </c>
      <c r="M139" s="586" t="s">
        <v>184</v>
      </c>
      <c r="N139" s="535">
        <v>8.6</v>
      </c>
      <c r="O139" s="536">
        <v>8.9</v>
      </c>
      <c r="P139" s="302">
        <v>8.9</v>
      </c>
      <c r="Q139" s="303">
        <v>8.9</v>
      </c>
      <c r="T139" s="208"/>
    </row>
    <row r="140" spans="1:20" ht="24.75" customHeight="1" x14ac:dyDescent="0.2">
      <c r="A140" s="1683"/>
      <c r="B140" s="1732"/>
      <c r="C140" s="1807"/>
      <c r="D140" s="1724"/>
      <c r="E140" s="1820"/>
      <c r="F140" s="1741"/>
      <c r="G140" s="1851"/>
      <c r="H140" s="370" t="s">
        <v>58</v>
      </c>
      <c r="I140" s="947">
        <v>132.19999999999999</v>
      </c>
      <c r="J140" s="127">
        <v>130</v>
      </c>
      <c r="K140" s="89"/>
      <c r="L140" s="89"/>
      <c r="M140" s="537" t="s">
        <v>150</v>
      </c>
      <c r="N140" s="470">
        <v>445</v>
      </c>
      <c r="O140" s="470">
        <v>425</v>
      </c>
      <c r="P140" s="470">
        <v>425</v>
      </c>
      <c r="Q140" s="492">
        <v>425</v>
      </c>
    </row>
    <row r="141" spans="1:20" ht="18" customHeight="1" x14ac:dyDescent="0.2">
      <c r="A141" s="1683"/>
      <c r="B141" s="1732"/>
      <c r="C141" s="1807"/>
      <c r="D141" s="1830" t="s">
        <v>7</v>
      </c>
      <c r="E141" s="1728" t="s">
        <v>37</v>
      </c>
      <c r="F141" s="921"/>
      <c r="G141" s="1826"/>
      <c r="H141" s="7" t="s">
        <v>24</v>
      </c>
      <c r="I141" s="108">
        <v>154</v>
      </c>
      <c r="J141" s="93">
        <v>132</v>
      </c>
      <c r="K141" s="87">
        <v>132</v>
      </c>
      <c r="L141" s="87">
        <v>132</v>
      </c>
      <c r="M141" s="500" t="s">
        <v>39</v>
      </c>
      <c r="N141" s="118">
        <v>46</v>
      </c>
      <c r="O141" s="33">
        <v>60</v>
      </c>
      <c r="P141" s="118">
        <v>60</v>
      </c>
      <c r="Q141" s="173">
        <v>60</v>
      </c>
    </row>
    <row r="142" spans="1:20" ht="24.75" customHeight="1" x14ac:dyDescent="0.2">
      <c r="A142" s="1683"/>
      <c r="B142" s="1732"/>
      <c r="C142" s="1807"/>
      <c r="D142" s="1724"/>
      <c r="E142" s="1698"/>
      <c r="F142" s="922"/>
      <c r="G142" s="1826"/>
      <c r="H142" s="935" t="s">
        <v>40</v>
      </c>
      <c r="I142" s="107">
        <v>2</v>
      </c>
      <c r="J142" s="675">
        <v>2</v>
      </c>
      <c r="K142" s="226">
        <v>2</v>
      </c>
      <c r="L142" s="226">
        <v>2</v>
      </c>
      <c r="M142" s="1154" t="s">
        <v>69</v>
      </c>
      <c r="N142" s="767">
        <v>1500</v>
      </c>
      <c r="O142" s="768">
        <v>1500</v>
      </c>
      <c r="P142" s="767">
        <v>1500</v>
      </c>
      <c r="Q142" s="769">
        <v>1500</v>
      </c>
    </row>
    <row r="143" spans="1:20" ht="39" customHeight="1" x14ac:dyDescent="0.2">
      <c r="A143" s="1255"/>
      <c r="B143" s="1257"/>
      <c r="C143" s="1260"/>
      <c r="D143" s="1256"/>
      <c r="E143" s="1259"/>
      <c r="F143" s="1258"/>
      <c r="G143" s="1261"/>
      <c r="H143" s="179" t="s">
        <v>24</v>
      </c>
      <c r="I143" s="94"/>
      <c r="J143" s="94">
        <v>59.5</v>
      </c>
      <c r="K143" s="136"/>
      <c r="L143" s="136"/>
      <c r="M143" s="867" t="s">
        <v>423</v>
      </c>
      <c r="N143" s="526"/>
      <c r="O143" s="174">
        <v>147</v>
      </c>
      <c r="P143" s="526"/>
      <c r="Q143" s="491"/>
    </row>
    <row r="144" spans="1:20" ht="15.75" customHeight="1" x14ac:dyDescent="0.2">
      <c r="A144" s="1310"/>
      <c r="B144" s="1312"/>
      <c r="C144" s="1316"/>
      <c r="D144" s="1311"/>
      <c r="E144" s="1315"/>
      <c r="F144" s="1313"/>
      <c r="G144" s="1317"/>
      <c r="H144" s="310" t="s">
        <v>58</v>
      </c>
      <c r="I144" s="138"/>
      <c r="J144" s="138">
        <v>10</v>
      </c>
      <c r="K144" s="137"/>
      <c r="L144" s="137"/>
      <c r="M144" s="1681" t="s">
        <v>458</v>
      </c>
      <c r="N144" s="767"/>
      <c r="O144" s="768">
        <v>1</v>
      </c>
      <c r="P144" s="767"/>
      <c r="Q144" s="769"/>
    </row>
    <row r="145" spans="1:20" ht="25.5" customHeight="1" x14ac:dyDescent="0.2">
      <c r="A145" s="984"/>
      <c r="B145" s="986"/>
      <c r="C145" s="992"/>
      <c r="D145" s="987"/>
      <c r="E145" s="988"/>
      <c r="F145" s="989"/>
      <c r="G145" s="991"/>
      <c r="H145" s="370" t="s">
        <v>24</v>
      </c>
      <c r="I145" s="89"/>
      <c r="J145" s="127">
        <v>130</v>
      </c>
      <c r="K145" s="89"/>
      <c r="L145" s="89"/>
      <c r="M145" s="1713"/>
      <c r="N145" s="1318"/>
      <c r="O145" s="1319"/>
      <c r="P145" s="1318"/>
      <c r="Q145" s="1320"/>
    </row>
    <row r="146" spans="1:20" ht="51" customHeight="1" x14ac:dyDescent="0.2">
      <c r="A146" s="984"/>
      <c r="B146" s="986"/>
      <c r="C146" s="992"/>
      <c r="D146" s="987"/>
      <c r="E146" s="988"/>
      <c r="F146" s="989"/>
      <c r="G146" s="1382"/>
      <c r="H146" s="370" t="s">
        <v>24</v>
      </c>
      <c r="I146" s="127"/>
      <c r="J146" s="127"/>
      <c r="K146" s="89">
        <v>6</v>
      </c>
      <c r="L146" s="89"/>
      <c r="M146" s="1314" t="s">
        <v>359</v>
      </c>
      <c r="N146" s="1318"/>
      <c r="O146" s="1319"/>
      <c r="P146" s="1318">
        <v>1</v>
      </c>
      <c r="Q146" s="1320"/>
    </row>
    <row r="147" spans="1:20" ht="31.5" customHeight="1" x14ac:dyDescent="0.2">
      <c r="A147" s="984"/>
      <c r="B147" s="986"/>
      <c r="C147" s="992"/>
      <c r="D147" s="987"/>
      <c r="E147" s="988"/>
      <c r="F147" s="989"/>
      <c r="G147" s="1382"/>
      <c r="H147" s="179" t="s">
        <v>24</v>
      </c>
      <c r="I147" s="94"/>
      <c r="J147" s="94"/>
      <c r="K147" s="136">
        <v>34</v>
      </c>
      <c r="L147" s="136"/>
      <c r="M147" s="867" t="s">
        <v>358</v>
      </c>
      <c r="N147" s="526"/>
      <c r="O147" s="174"/>
      <c r="P147" s="526">
        <v>1</v>
      </c>
      <c r="Q147" s="491"/>
    </row>
    <row r="148" spans="1:20" ht="41.25" customHeight="1" x14ac:dyDescent="0.2">
      <c r="A148" s="984"/>
      <c r="B148" s="986"/>
      <c r="C148" s="992"/>
      <c r="D148" s="987"/>
      <c r="E148" s="988"/>
      <c r="F148" s="989"/>
      <c r="G148" s="1382"/>
      <c r="H148" s="997" t="s">
        <v>80</v>
      </c>
      <c r="I148" s="1018">
        <v>1.8</v>
      </c>
      <c r="J148" s="675">
        <v>0.3</v>
      </c>
      <c r="K148" s="998"/>
      <c r="L148" s="998"/>
      <c r="M148" s="1011" t="s">
        <v>323</v>
      </c>
      <c r="N148" s="1020">
        <v>1</v>
      </c>
      <c r="O148" s="1021"/>
      <c r="P148" s="332"/>
      <c r="Q148" s="289"/>
    </row>
    <row r="149" spans="1:20" ht="24.75" customHeight="1" x14ac:dyDescent="0.2">
      <c r="A149" s="915"/>
      <c r="B149" s="920"/>
      <c r="C149" s="938"/>
      <c r="D149" s="937" t="s">
        <v>26</v>
      </c>
      <c r="E149" s="1728" t="s">
        <v>106</v>
      </c>
      <c r="F149" s="1374"/>
      <c r="G149" s="1382"/>
      <c r="H149" s="575" t="s">
        <v>24</v>
      </c>
      <c r="I149" s="108">
        <v>66.2</v>
      </c>
      <c r="J149" s="93">
        <v>80.2</v>
      </c>
      <c r="K149" s="87">
        <v>80.2</v>
      </c>
      <c r="L149" s="87">
        <v>80.2</v>
      </c>
      <c r="M149" s="501" t="s">
        <v>133</v>
      </c>
      <c r="N149" s="210" t="s">
        <v>220</v>
      </c>
      <c r="O149" s="209" t="s">
        <v>360</v>
      </c>
      <c r="P149" s="210" t="s">
        <v>360</v>
      </c>
      <c r="Q149" s="211" t="s">
        <v>360</v>
      </c>
      <c r="R149" s="1170"/>
    </row>
    <row r="150" spans="1:20" ht="26.25" customHeight="1" x14ac:dyDescent="0.2">
      <c r="A150" s="915"/>
      <c r="B150" s="920"/>
      <c r="C150" s="938"/>
      <c r="D150" s="918"/>
      <c r="E150" s="1729"/>
      <c r="F150" s="1375"/>
      <c r="G150" s="1382"/>
      <c r="H150" s="248" t="s">
        <v>58</v>
      </c>
      <c r="I150" s="107"/>
      <c r="J150" s="675"/>
      <c r="K150" s="226"/>
      <c r="L150" s="226"/>
      <c r="M150" s="112" t="s">
        <v>134</v>
      </c>
      <c r="N150" s="257" t="s">
        <v>104</v>
      </c>
      <c r="O150" s="766" t="s">
        <v>361</v>
      </c>
      <c r="P150" s="257" t="s">
        <v>361</v>
      </c>
      <c r="Q150" s="166" t="s">
        <v>361</v>
      </c>
    </row>
    <row r="151" spans="1:20" ht="35.25" customHeight="1" x14ac:dyDescent="0.2">
      <c r="A151" s="915"/>
      <c r="B151" s="920"/>
      <c r="C151" s="938"/>
      <c r="D151" s="937" t="s">
        <v>34</v>
      </c>
      <c r="E151" s="916" t="s">
        <v>57</v>
      </c>
      <c r="F151" s="1375"/>
      <c r="G151" s="1826"/>
      <c r="H151" s="21" t="s">
        <v>24</v>
      </c>
      <c r="I151" s="90">
        <v>63.8</v>
      </c>
      <c r="J151" s="141">
        <v>80</v>
      </c>
      <c r="K151" s="90">
        <v>80</v>
      </c>
      <c r="L151" s="90">
        <v>80</v>
      </c>
      <c r="M151" s="1156" t="s">
        <v>38</v>
      </c>
      <c r="N151" s="282">
        <v>11</v>
      </c>
      <c r="O151" s="282">
        <v>9</v>
      </c>
      <c r="P151" s="282">
        <v>9</v>
      </c>
      <c r="Q151" s="283">
        <v>9</v>
      </c>
    </row>
    <row r="152" spans="1:20" ht="15.75" customHeight="1" x14ac:dyDescent="0.2">
      <c r="A152" s="915"/>
      <c r="B152" s="920"/>
      <c r="C152" s="272"/>
      <c r="D152" s="1830" t="s">
        <v>35</v>
      </c>
      <c r="E152" s="1925" t="s">
        <v>250</v>
      </c>
      <c r="F152" s="1375"/>
      <c r="G152" s="1826"/>
      <c r="H152" s="7" t="s">
        <v>58</v>
      </c>
      <c r="I152" s="87"/>
      <c r="J152" s="93">
        <v>13.8</v>
      </c>
      <c r="K152" s="87"/>
      <c r="L152" s="87"/>
      <c r="M152" s="1376" t="s">
        <v>87</v>
      </c>
      <c r="N152" s="33"/>
      <c r="O152" s="33">
        <v>1</v>
      </c>
      <c r="P152" s="118"/>
      <c r="Q152" s="173"/>
    </row>
    <row r="153" spans="1:20" ht="27" customHeight="1" x14ac:dyDescent="0.2">
      <c r="A153" s="25"/>
      <c r="B153" s="1373"/>
      <c r="C153" s="272"/>
      <c r="D153" s="1831"/>
      <c r="E153" s="1647"/>
      <c r="F153" s="1281"/>
      <c r="G153" s="1865"/>
      <c r="H153" s="21" t="s">
        <v>24</v>
      </c>
      <c r="I153" s="88">
        <f>200-185</f>
        <v>15</v>
      </c>
      <c r="J153" s="523"/>
      <c r="K153" s="88">
        <v>100</v>
      </c>
      <c r="L153" s="88"/>
      <c r="M153" s="194" t="s">
        <v>422</v>
      </c>
      <c r="N153" s="65">
        <v>10</v>
      </c>
      <c r="O153" s="65"/>
      <c r="P153" s="119">
        <v>100</v>
      </c>
      <c r="Q153" s="172"/>
      <c r="T153" s="208"/>
    </row>
    <row r="154" spans="1:20" ht="16.5" customHeight="1" thickBot="1" x14ac:dyDescent="0.25">
      <c r="A154" s="26"/>
      <c r="B154" s="928"/>
      <c r="C154" s="267"/>
      <c r="D154" s="270"/>
      <c r="E154" s="271"/>
      <c r="F154" s="276"/>
      <c r="G154" s="269"/>
      <c r="H154" s="22" t="s">
        <v>6</v>
      </c>
      <c r="I154" s="155">
        <f>SUM(I139:I153)</f>
        <v>3045.7</v>
      </c>
      <c r="J154" s="155">
        <f t="shared" ref="J154:L154" si="0">SUM(J139:J153)</f>
        <v>3730.5</v>
      </c>
      <c r="K154" s="155">
        <f t="shared" si="0"/>
        <v>3656.9</v>
      </c>
      <c r="L154" s="155">
        <f t="shared" si="0"/>
        <v>3516.9</v>
      </c>
      <c r="M154" s="268"/>
      <c r="N154" s="280"/>
      <c r="O154" s="280"/>
      <c r="P154" s="274"/>
      <c r="Q154" s="494"/>
    </row>
    <row r="155" spans="1:20" ht="18" customHeight="1" x14ac:dyDescent="0.2">
      <c r="A155" s="1730" t="s">
        <v>5</v>
      </c>
      <c r="B155" s="1731" t="s">
        <v>5</v>
      </c>
      <c r="C155" s="1918" t="s">
        <v>26</v>
      </c>
      <c r="D155" s="1919"/>
      <c r="E155" s="1734" t="s">
        <v>55</v>
      </c>
      <c r="F155" s="1890" t="s">
        <v>100</v>
      </c>
      <c r="G155" s="1290"/>
      <c r="H155" s="159"/>
      <c r="I155" s="106"/>
      <c r="J155" s="111"/>
      <c r="K155" s="111"/>
      <c r="L155" s="111"/>
      <c r="M155" s="1738"/>
      <c r="N155" s="39"/>
      <c r="O155" s="1882"/>
      <c r="P155" s="1880"/>
      <c r="Q155" s="1921"/>
    </row>
    <row r="156" spans="1:20" ht="11.25" customHeight="1" x14ac:dyDescent="0.2">
      <c r="A156" s="1683"/>
      <c r="B156" s="1732"/>
      <c r="C156" s="1807"/>
      <c r="D156" s="1920"/>
      <c r="E156" s="1735"/>
      <c r="F156" s="1891"/>
      <c r="G156" s="1291"/>
      <c r="H156" s="248"/>
      <c r="I156" s="88"/>
      <c r="J156" s="523"/>
      <c r="K156" s="523"/>
      <c r="L156" s="523"/>
      <c r="M156" s="1682"/>
      <c r="N156" s="893"/>
      <c r="O156" s="1883"/>
      <c r="P156" s="1881"/>
      <c r="Q156" s="1922"/>
    </row>
    <row r="157" spans="1:20" ht="15.75" customHeight="1" x14ac:dyDescent="0.2">
      <c r="A157" s="1683"/>
      <c r="B157" s="1684"/>
      <c r="C157" s="1807"/>
      <c r="D157" s="1830" t="s">
        <v>5</v>
      </c>
      <c r="E157" s="1680" t="s">
        <v>91</v>
      </c>
      <c r="F157" s="1726"/>
      <c r="G157" s="1274"/>
      <c r="H157" s="575" t="s">
        <v>24</v>
      </c>
      <c r="I157" s="93">
        <v>1905.5</v>
      </c>
      <c r="J157" s="93">
        <v>2002.6</v>
      </c>
      <c r="K157" s="93">
        <v>2197.1</v>
      </c>
      <c r="L157" s="93">
        <v>2285</v>
      </c>
      <c r="M157" s="990" t="s">
        <v>70</v>
      </c>
      <c r="N157" s="124">
        <v>17.8</v>
      </c>
      <c r="O157" s="411">
        <v>17.399999999999999</v>
      </c>
      <c r="P157" s="725">
        <v>18.100000000000001</v>
      </c>
      <c r="Q157" s="493">
        <v>18.899999999999999</v>
      </c>
    </row>
    <row r="158" spans="1:20" ht="15.75" customHeight="1" x14ac:dyDescent="0.2">
      <c r="A158" s="1683"/>
      <c r="B158" s="1684"/>
      <c r="C158" s="1807"/>
      <c r="D158" s="1831"/>
      <c r="E158" s="1725"/>
      <c r="F158" s="1727"/>
      <c r="G158" s="1292"/>
      <c r="H158" s="248" t="s">
        <v>58</v>
      </c>
      <c r="I158" s="88">
        <v>110.5</v>
      </c>
      <c r="J158" s="523">
        <v>110</v>
      </c>
      <c r="K158" s="523"/>
      <c r="L158" s="523"/>
      <c r="M158" s="194" t="s">
        <v>51</v>
      </c>
      <c r="N158" s="386">
        <v>9.5</v>
      </c>
      <c r="O158" s="386">
        <v>9.4</v>
      </c>
      <c r="P158" s="386">
        <v>9.6999999999999993</v>
      </c>
      <c r="Q158" s="542">
        <v>10.1</v>
      </c>
    </row>
    <row r="159" spans="1:20" ht="16.5" customHeight="1" x14ac:dyDescent="0.2">
      <c r="A159" s="915"/>
      <c r="B159" s="920"/>
      <c r="C159" s="938"/>
      <c r="D159" s="918" t="s">
        <v>7</v>
      </c>
      <c r="E159" s="1679" t="s">
        <v>151</v>
      </c>
      <c r="F159" s="1286"/>
      <c r="G159" s="1826" t="s">
        <v>434</v>
      </c>
      <c r="H159" s="935" t="s">
        <v>24</v>
      </c>
      <c r="I159" s="87">
        <f>51.7+15-9.3</f>
        <v>57.4</v>
      </c>
      <c r="J159" s="87">
        <v>64</v>
      </c>
      <c r="K159" s="87">
        <v>68.5</v>
      </c>
      <c r="L159" s="87">
        <v>73.3</v>
      </c>
      <c r="M159" s="993" t="s">
        <v>51</v>
      </c>
      <c r="N159" s="302">
        <v>0.4</v>
      </c>
      <c r="O159" s="302">
        <v>0.5</v>
      </c>
      <c r="P159" s="302">
        <v>0.5</v>
      </c>
      <c r="Q159" s="303">
        <v>0.5</v>
      </c>
    </row>
    <row r="160" spans="1:20" ht="26.25" customHeight="1" x14ac:dyDescent="0.2">
      <c r="A160" s="915"/>
      <c r="B160" s="920"/>
      <c r="C160" s="938"/>
      <c r="D160" s="918"/>
      <c r="E160" s="1680"/>
      <c r="F160" s="1287"/>
      <c r="G160" s="1826"/>
      <c r="H160" s="935" t="s">
        <v>24</v>
      </c>
      <c r="I160" s="226">
        <f>129.2-51.7+1.4</f>
        <v>78.900000000000006</v>
      </c>
      <c r="J160" s="226">
        <v>116.6</v>
      </c>
      <c r="K160" s="226">
        <v>152.69999999999999</v>
      </c>
      <c r="L160" s="226">
        <v>152.69999999999999</v>
      </c>
      <c r="M160" s="41" t="s">
        <v>280</v>
      </c>
      <c r="N160" s="526">
        <v>1206</v>
      </c>
      <c r="O160" s="526">
        <v>1646</v>
      </c>
      <c r="P160" s="526">
        <v>2096</v>
      </c>
      <c r="Q160" s="491">
        <v>2096</v>
      </c>
    </row>
    <row r="161" spans="1:19" ht="39" customHeight="1" x14ac:dyDescent="0.2">
      <c r="A161" s="915"/>
      <c r="B161" s="917"/>
      <c r="C161" s="938"/>
      <c r="D161" s="918"/>
      <c r="E161" s="1680"/>
      <c r="F161" s="1287"/>
      <c r="G161" s="1826"/>
      <c r="H161" s="935" t="s">
        <v>58</v>
      </c>
      <c r="I161" s="226">
        <v>90.4</v>
      </c>
      <c r="J161" s="86"/>
      <c r="K161" s="226"/>
      <c r="L161" s="226"/>
      <c r="M161" s="41" t="s">
        <v>281</v>
      </c>
      <c r="N161" s="649">
        <v>22.2</v>
      </c>
      <c r="O161" s="650">
        <v>29.2</v>
      </c>
      <c r="P161" s="650">
        <v>35.200000000000003</v>
      </c>
      <c r="Q161" s="651">
        <v>35.200000000000003</v>
      </c>
    </row>
    <row r="162" spans="1:19" ht="30" customHeight="1" x14ac:dyDescent="0.2">
      <c r="A162" s="915"/>
      <c r="B162" s="920"/>
      <c r="C162" s="938"/>
      <c r="D162" s="929"/>
      <c r="E162" s="1892"/>
      <c r="F162" s="1281"/>
      <c r="G162" s="1860"/>
      <c r="H162" s="248" t="s">
        <v>24</v>
      </c>
      <c r="I162" s="88">
        <v>2.1</v>
      </c>
      <c r="J162" s="88">
        <v>3.9</v>
      </c>
      <c r="K162" s="88">
        <v>3.9</v>
      </c>
      <c r="L162" s="88">
        <v>3.9</v>
      </c>
      <c r="M162" s="527" t="s">
        <v>367</v>
      </c>
      <c r="N162" s="528">
        <v>3</v>
      </c>
      <c r="O162" s="65">
        <v>3</v>
      </c>
      <c r="P162" s="119">
        <v>3</v>
      </c>
      <c r="Q162" s="172">
        <v>3</v>
      </c>
    </row>
    <row r="163" spans="1:19" ht="16.5" customHeight="1" x14ac:dyDescent="0.2">
      <c r="A163" s="915"/>
      <c r="B163" s="920"/>
      <c r="C163" s="938"/>
      <c r="D163" s="939" t="s">
        <v>26</v>
      </c>
      <c r="E163" s="1679" t="s">
        <v>375</v>
      </c>
      <c r="F163" s="1273"/>
      <c r="G163" s="1275"/>
      <c r="H163" s="935"/>
      <c r="I163" s="226"/>
      <c r="J163" s="137"/>
      <c r="K163" s="138"/>
      <c r="L163" s="138"/>
      <c r="M163" s="1153"/>
      <c r="N163" s="503"/>
      <c r="O163" s="118"/>
      <c r="P163" s="118"/>
      <c r="Q163" s="173"/>
    </row>
    <row r="164" spans="1:19" ht="12.75" customHeight="1" x14ac:dyDescent="0.2">
      <c r="A164" s="915"/>
      <c r="B164" s="920"/>
      <c r="C164" s="938"/>
      <c r="D164" s="929"/>
      <c r="E164" s="1820"/>
      <c r="F164" s="1273"/>
      <c r="G164" s="1275"/>
      <c r="H164" s="935"/>
      <c r="I164" s="226"/>
      <c r="J164" s="226"/>
      <c r="K164" s="675"/>
      <c r="L164" s="675"/>
      <c r="M164" s="1155"/>
      <c r="N164" s="363"/>
      <c r="O164" s="117"/>
      <c r="P164" s="117"/>
      <c r="Q164" s="471"/>
    </row>
    <row r="165" spans="1:19" ht="15" customHeight="1" x14ac:dyDescent="0.2">
      <c r="A165" s="915"/>
      <c r="B165" s="920"/>
      <c r="C165" s="938"/>
      <c r="D165" s="1899" t="s">
        <v>371</v>
      </c>
      <c r="E165" s="570"/>
      <c r="F165" s="1272"/>
      <c r="G165" s="1275"/>
      <c r="H165" s="575" t="s">
        <v>24</v>
      </c>
      <c r="I165" s="87"/>
      <c r="J165" s="93">
        <v>21.1</v>
      </c>
      <c r="K165" s="93"/>
      <c r="L165" s="93"/>
      <c r="M165" s="1153" t="s">
        <v>241</v>
      </c>
      <c r="N165" s="503"/>
      <c r="O165" s="503">
        <v>16</v>
      </c>
      <c r="P165" s="118"/>
      <c r="Q165" s="173"/>
    </row>
    <row r="166" spans="1:19" ht="13.5" customHeight="1" x14ac:dyDescent="0.2">
      <c r="A166" s="915"/>
      <c r="B166" s="920"/>
      <c r="C166" s="938"/>
      <c r="D166" s="1888"/>
      <c r="E166" s="559" t="s">
        <v>226</v>
      </c>
      <c r="F166" s="1273"/>
      <c r="G166" s="1275"/>
      <c r="H166" s="935" t="s">
        <v>24</v>
      </c>
      <c r="I166" s="226"/>
      <c r="J166" s="675">
        <v>64.8</v>
      </c>
      <c r="K166" s="675"/>
      <c r="L166" s="675"/>
      <c r="M166" s="1155" t="s">
        <v>227</v>
      </c>
      <c r="N166" s="363"/>
      <c r="O166" s="363">
        <v>100</v>
      </c>
      <c r="P166" s="363"/>
      <c r="Q166" s="381"/>
    </row>
    <row r="167" spans="1:19" ht="25.5" customHeight="1" x14ac:dyDescent="0.2">
      <c r="A167" s="915"/>
      <c r="B167" s="920"/>
      <c r="C167" s="938"/>
      <c r="D167" s="1900"/>
      <c r="E167" s="559" t="s">
        <v>477</v>
      </c>
      <c r="F167" s="1273"/>
      <c r="G167" s="1275"/>
      <c r="H167" s="935" t="s">
        <v>58</v>
      </c>
      <c r="I167" s="226"/>
      <c r="J167" s="675">
        <v>2.9</v>
      </c>
      <c r="K167" s="675"/>
      <c r="L167" s="675"/>
      <c r="M167" s="1155"/>
      <c r="N167" s="363"/>
      <c r="O167" s="363"/>
      <c r="P167" s="117"/>
      <c r="Q167" s="471"/>
      <c r="S167" s="208"/>
    </row>
    <row r="168" spans="1:19" ht="24" customHeight="1" x14ac:dyDescent="0.2">
      <c r="A168" s="915"/>
      <c r="B168" s="920"/>
      <c r="C168" s="938"/>
      <c r="D168" s="1900"/>
      <c r="E168" s="559" t="s">
        <v>476</v>
      </c>
      <c r="F168" s="1273"/>
      <c r="G168" s="1275"/>
      <c r="H168" s="935"/>
      <c r="I168" s="226"/>
      <c r="J168" s="675"/>
      <c r="K168" s="675"/>
      <c r="L168" s="675"/>
      <c r="M168" s="1155"/>
      <c r="N168" s="363"/>
      <c r="O168" s="117"/>
      <c r="P168" s="117"/>
      <c r="Q168" s="471"/>
    </row>
    <row r="169" spans="1:19" ht="15.75" customHeight="1" x14ac:dyDescent="0.2">
      <c r="A169" s="1046"/>
      <c r="B169" s="1047"/>
      <c r="C169" s="1049"/>
      <c r="D169" s="1050"/>
      <c r="E169" s="1145" t="s">
        <v>479</v>
      </c>
      <c r="F169" s="1273"/>
      <c r="G169" s="1275"/>
      <c r="H169" s="1048"/>
      <c r="I169" s="226"/>
      <c r="J169" s="675"/>
      <c r="K169" s="675"/>
      <c r="L169" s="675"/>
      <c r="M169" s="1155"/>
      <c r="N169" s="363"/>
      <c r="O169" s="117"/>
      <c r="P169" s="117"/>
      <c r="Q169" s="471"/>
    </row>
    <row r="170" spans="1:19" ht="16.5" customHeight="1" x14ac:dyDescent="0.2">
      <c r="A170" s="1046"/>
      <c r="B170" s="1047"/>
      <c r="C170" s="1049"/>
      <c r="D170" s="1050"/>
      <c r="E170" s="1145" t="s">
        <v>480</v>
      </c>
      <c r="F170" s="1273"/>
      <c r="G170" s="1275"/>
      <c r="H170" s="1048"/>
      <c r="I170" s="226"/>
      <c r="J170" s="675"/>
      <c r="K170" s="675"/>
      <c r="L170" s="675"/>
      <c r="M170" s="1155"/>
      <c r="N170" s="363"/>
      <c r="O170" s="117"/>
      <c r="P170" s="117"/>
      <c r="Q170" s="471"/>
    </row>
    <row r="171" spans="1:19" ht="30" customHeight="1" x14ac:dyDescent="0.2">
      <c r="A171" s="1046"/>
      <c r="B171" s="1047"/>
      <c r="C171" s="1049"/>
      <c r="D171" s="1050"/>
      <c r="E171" s="1145" t="s">
        <v>481</v>
      </c>
      <c r="F171" s="1273"/>
      <c r="G171" s="1275"/>
      <c r="H171" s="1048"/>
      <c r="I171" s="226"/>
      <c r="J171" s="675"/>
      <c r="K171" s="675"/>
      <c r="L171" s="675"/>
      <c r="M171" s="1155"/>
      <c r="N171" s="363"/>
      <c r="O171" s="117"/>
      <c r="P171" s="117"/>
      <c r="Q171" s="471"/>
    </row>
    <row r="172" spans="1:19" ht="16.5" customHeight="1" x14ac:dyDescent="0.2">
      <c r="A172" s="915"/>
      <c r="B172" s="920"/>
      <c r="C172" s="938"/>
      <c r="D172" s="80"/>
      <c r="E172" s="1146" t="s">
        <v>482</v>
      </c>
      <c r="F172" s="1273"/>
      <c r="G172" s="1275"/>
      <c r="H172" s="935"/>
      <c r="I172" s="226"/>
      <c r="J172" s="675"/>
      <c r="K172" s="675"/>
      <c r="L172" s="675"/>
      <c r="M172" s="1155"/>
      <c r="N172" s="363"/>
      <c r="O172" s="117"/>
      <c r="P172" s="117"/>
      <c r="Q172" s="471"/>
      <c r="S172" s="208"/>
    </row>
    <row r="173" spans="1:19" ht="15" customHeight="1" x14ac:dyDescent="0.2">
      <c r="A173" s="984"/>
      <c r="B173" s="986"/>
      <c r="C173" s="992"/>
      <c r="D173" s="1899" t="s">
        <v>368</v>
      </c>
      <c r="E173" s="570" t="s">
        <v>484</v>
      </c>
      <c r="F173" s="1321"/>
      <c r="G173" s="1322"/>
      <c r="H173" s="575" t="s">
        <v>24</v>
      </c>
      <c r="I173" s="87"/>
      <c r="J173" s="93"/>
      <c r="K173" s="93">
        <v>131</v>
      </c>
      <c r="L173" s="93"/>
      <c r="M173" s="1153" t="s">
        <v>227</v>
      </c>
      <c r="N173" s="503"/>
      <c r="O173" s="503"/>
      <c r="P173" s="503">
        <v>100</v>
      </c>
      <c r="Q173" s="380"/>
    </row>
    <row r="174" spans="1:19" ht="14.25" customHeight="1" x14ac:dyDescent="0.2">
      <c r="A174" s="984"/>
      <c r="B174" s="986"/>
      <c r="C174" s="992"/>
      <c r="D174" s="1888"/>
      <c r="E174" s="568" t="s">
        <v>483</v>
      </c>
      <c r="F174" s="1321"/>
      <c r="G174" s="1322"/>
      <c r="H174" s="994"/>
      <c r="I174" s="226"/>
      <c r="J174" s="675"/>
      <c r="K174" s="675"/>
      <c r="L174" s="675"/>
      <c r="M174" s="1155"/>
      <c r="N174" s="363"/>
      <c r="O174" s="363"/>
      <c r="P174" s="363"/>
      <c r="Q174" s="381"/>
    </row>
    <row r="175" spans="1:19" ht="15" customHeight="1" x14ac:dyDescent="0.2">
      <c r="A175" s="984"/>
      <c r="B175" s="986"/>
      <c r="C175" s="992"/>
      <c r="D175" s="1908"/>
      <c r="E175" s="568" t="s">
        <v>485</v>
      </c>
      <c r="F175" s="1321"/>
      <c r="G175" s="1322"/>
      <c r="H175" s="994"/>
      <c r="I175" s="226"/>
      <c r="J175" s="675"/>
      <c r="K175" s="675"/>
      <c r="L175" s="675"/>
      <c r="M175" s="1155"/>
      <c r="N175" s="363"/>
      <c r="O175" s="363"/>
      <c r="P175" s="117"/>
      <c r="Q175" s="471"/>
    </row>
    <row r="176" spans="1:19" ht="16.5" customHeight="1" x14ac:dyDescent="0.2">
      <c r="A176" s="984"/>
      <c r="B176" s="986"/>
      <c r="C176" s="992"/>
      <c r="D176" s="1908"/>
      <c r="E176" s="559" t="s">
        <v>486</v>
      </c>
      <c r="F176" s="1321"/>
      <c r="G176" s="1322"/>
      <c r="H176" s="994"/>
      <c r="I176" s="226"/>
      <c r="J176" s="675"/>
      <c r="K176" s="675"/>
      <c r="L176" s="675"/>
      <c r="M176" s="1155"/>
      <c r="N176" s="363"/>
      <c r="O176" s="363"/>
      <c r="P176" s="117"/>
      <c r="Q176" s="471"/>
    </row>
    <row r="177" spans="1:19" ht="24.75" customHeight="1" x14ac:dyDescent="0.2">
      <c r="A177" s="984"/>
      <c r="B177" s="986"/>
      <c r="C177" s="992"/>
      <c r="D177" s="1908"/>
      <c r="E177" s="1147" t="s">
        <v>487</v>
      </c>
      <c r="F177" s="1321"/>
      <c r="G177" s="1322"/>
      <c r="H177" s="994"/>
      <c r="I177" s="226"/>
      <c r="J177" s="675"/>
      <c r="K177" s="675"/>
      <c r="L177" s="675"/>
      <c r="M177" s="1155"/>
      <c r="N177" s="363"/>
      <c r="O177" s="117"/>
      <c r="P177" s="117"/>
      <c r="Q177" s="471"/>
    </row>
    <row r="178" spans="1:19" ht="15" customHeight="1" x14ac:dyDescent="0.2">
      <c r="A178" s="984"/>
      <c r="B178" s="986"/>
      <c r="C178" s="992"/>
      <c r="D178" s="80"/>
      <c r="E178" s="1143" t="s">
        <v>394</v>
      </c>
      <c r="F178" s="1321"/>
      <c r="G178" s="1322"/>
      <c r="H178" s="994"/>
      <c r="I178" s="226"/>
      <c r="J178" s="675"/>
      <c r="K178" s="675"/>
      <c r="L178" s="675"/>
      <c r="M178" s="1155"/>
      <c r="N178" s="363"/>
      <c r="O178" s="117"/>
      <c r="P178" s="117"/>
      <c r="Q178" s="471"/>
    </row>
    <row r="179" spans="1:19" ht="26.25" customHeight="1" x14ac:dyDescent="0.2">
      <c r="A179" s="1119"/>
      <c r="B179" s="1121"/>
      <c r="C179" s="1125"/>
      <c r="D179" s="1885" t="s">
        <v>369</v>
      </c>
      <c r="E179" s="570" t="s">
        <v>493</v>
      </c>
      <c r="F179" s="1321"/>
      <c r="G179" s="1322"/>
      <c r="H179" s="575" t="s">
        <v>24</v>
      </c>
      <c r="I179" s="87"/>
      <c r="J179" s="93"/>
      <c r="K179" s="1153"/>
      <c r="L179" s="93">
        <v>115</v>
      </c>
      <c r="M179" s="1153"/>
      <c r="N179" s="503"/>
      <c r="O179" s="118"/>
      <c r="P179" s="118"/>
      <c r="Q179" s="173">
        <v>100</v>
      </c>
    </row>
    <row r="180" spans="1:19" ht="15" customHeight="1" x14ac:dyDescent="0.2">
      <c r="A180" s="1119"/>
      <c r="B180" s="1121"/>
      <c r="C180" s="1125"/>
      <c r="D180" s="1886"/>
      <c r="E180" s="1147" t="s">
        <v>488</v>
      </c>
      <c r="F180" s="1273"/>
      <c r="G180" s="1275"/>
      <c r="H180" s="1124"/>
      <c r="I180" s="226"/>
      <c r="J180" s="675"/>
      <c r="K180" s="675"/>
      <c r="L180" s="675"/>
      <c r="M180" s="1155"/>
      <c r="N180" s="363"/>
      <c r="O180" s="117"/>
      <c r="P180" s="117"/>
      <c r="Q180" s="471"/>
      <c r="S180" s="208"/>
    </row>
    <row r="181" spans="1:19" ht="15" customHeight="1" x14ac:dyDescent="0.2">
      <c r="A181" s="1119"/>
      <c r="B181" s="1121"/>
      <c r="C181" s="1125"/>
      <c r="D181" s="1886"/>
      <c r="E181" s="1148" t="s">
        <v>489</v>
      </c>
      <c r="F181" s="1273"/>
      <c r="G181" s="1275"/>
      <c r="H181" s="1124"/>
      <c r="I181" s="226"/>
      <c r="J181" s="675"/>
      <c r="K181" s="675"/>
      <c r="L181" s="675"/>
      <c r="M181" s="1155"/>
      <c r="N181" s="363"/>
      <c r="O181" s="117"/>
      <c r="P181" s="117"/>
      <c r="Q181" s="471"/>
    </row>
    <row r="182" spans="1:19" ht="15" customHeight="1" x14ac:dyDescent="0.2">
      <c r="A182" s="1119"/>
      <c r="B182" s="1121"/>
      <c r="C182" s="1125"/>
      <c r="D182" s="1886"/>
      <c r="E182" s="1148" t="s">
        <v>490</v>
      </c>
      <c r="F182" s="1273"/>
      <c r="G182" s="1275"/>
      <c r="H182" s="1124"/>
      <c r="I182" s="226"/>
      <c r="J182" s="675"/>
      <c r="K182" s="675"/>
      <c r="L182" s="675"/>
      <c r="M182" s="1123"/>
      <c r="N182" s="363"/>
      <c r="O182" s="117"/>
      <c r="P182" s="117"/>
      <c r="Q182" s="471"/>
    </row>
    <row r="183" spans="1:19" ht="15" customHeight="1" x14ac:dyDescent="0.2">
      <c r="A183" s="1119"/>
      <c r="B183" s="1121"/>
      <c r="C183" s="1125"/>
      <c r="D183" s="1886"/>
      <c r="E183" s="1143" t="s">
        <v>491</v>
      </c>
      <c r="F183" s="1273"/>
      <c r="G183" s="1275"/>
      <c r="H183" s="1124"/>
      <c r="I183" s="226"/>
      <c r="J183" s="675"/>
      <c r="K183" s="675"/>
      <c r="L183" s="675"/>
      <c r="M183" s="1123"/>
      <c r="N183" s="363"/>
      <c r="O183" s="117"/>
      <c r="P183" s="117"/>
      <c r="Q183" s="471"/>
    </row>
    <row r="184" spans="1:19" ht="15" customHeight="1" x14ac:dyDescent="0.2">
      <c r="A184" s="1119"/>
      <c r="B184" s="1121"/>
      <c r="C184" s="1125"/>
      <c r="D184" s="1886"/>
      <c r="E184" s="1145" t="s">
        <v>492</v>
      </c>
      <c r="F184" s="1273"/>
      <c r="G184" s="1275"/>
      <c r="H184" s="1124"/>
      <c r="I184" s="226"/>
      <c r="J184" s="675"/>
      <c r="K184" s="675"/>
      <c r="L184" s="675"/>
      <c r="M184" s="1123"/>
      <c r="N184" s="363"/>
      <c r="O184" s="117"/>
      <c r="P184" s="117"/>
      <c r="Q184" s="471"/>
    </row>
    <row r="185" spans="1:19" ht="15" customHeight="1" x14ac:dyDescent="0.2">
      <c r="A185" s="1119"/>
      <c r="B185" s="1121"/>
      <c r="C185" s="1125"/>
      <c r="D185" s="1887"/>
      <c r="E185" s="1146" t="s">
        <v>370</v>
      </c>
      <c r="F185" s="1281"/>
      <c r="G185" s="1278"/>
      <c r="H185" s="248"/>
      <c r="I185" s="88"/>
      <c r="J185" s="523"/>
      <c r="K185" s="523"/>
      <c r="L185" s="523"/>
      <c r="M185" s="194"/>
      <c r="N185" s="364"/>
      <c r="O185" s="119"/>
      <c r="P185" s="119"/>
      <c r="Q185" s="172"/>
    </row>
    <row r="186" spans="1:19" ht="15.75" customHeight="1" x14ac:dyDescent="0.2">
      <c r="A186" s="984"/>
      <c r="B186" s="986"/>
      <c r="C186" s="992"/>
      <c r="D186" s="1888" t="s">
        <v>228</v>
      </c>
      <c r="E186" s="1127"/>
      <c r="F186" s="1288"/>
      <c r="G186" s="1276"/>
      <c r="H186" s="997" t="s">
        <v>24</v>
      </c>
      <c r="I186" s="998">
        <v>3.4</v>
      </c>
      <c r="J186" s="1019"/>
      <c r="K186" s="998"/>
      <c r="L186" s="998"/>
      <c r="M186" s="645" t="s">
        <v>241</v>
      </c>
      <c r="N186" s="1129">
        <v>9</v>
      </c>
      <c r="O186" s="1000"/>
      <c r="P186" s="1000"/>
      <c r="Q186" s="471"/>
    </row>
    <row r="187" spans="1:19" ht="13.5" customHeight="1" x14ac:dyDescent="0.2">
      <c r="A187" s="984"/>
      <c r="B187" s="986"/>
      <c r="C187" s="992"/>
      <c r="D187" s="1888"/>
      <c r="E187" s="1127"/>
      <c r="F187" s="1288"/>
      <c r="G187" s="1276"/>
      <c r="H187" s="997" t="s">
        <v>58</v>
      </c>
      <c r="I187" s="998">
        <v>4.7</v>
      </c>
      <c r="J187" s="1019"/>
      <c r="K187" s="1019"/>
      <c r="L187" s="1019"/>
      <c r="M187" s="645" t="s">
        <v>227</v>
      </c>
      <c r="N187" s="1129">
        <v>100</v>
      </c>
      <c r="O187" s="1000"/>
      <c r="P187" s="1000"/>
      <c r="Q187" s="471"/>
    </row>
    <row r="188" spans="1:19" ht="27" customHeight="1" x14ac:dyDescent="0.2">
      <c r="A188" s="984"/>
      <c r="B188" s="986"/>
      <c r="C188" s="992"/>
      <c r="D188" s="1888"/>
      <c r="E188" s="1130" t="s">
        <v>224</v>
      </c>
      <c r="F188" s="1288"/>
      <c r="G188" s="1276"/>
      <c r="H188" s="997" t="s">
        <v>24</v>
      </c>
      <c r="I188" s="998">
        <f>119.2-1.4-8.4-28</f>
        <v>81.400000000000006</v>
      </c>
      <c r="J188" s="1019"/>
      <c r="K188" s="1019"/>
      <c r="L188" s="1019"/>
      <c r="M188" s="645"/>
      <c r="N188" s="1129"/>
      <c r="O188" s="1000"/>
      <c r="P188" s="1000"/>
      <c r="Q188" s="471"/>
    </row>
    <row r="189" spans="1:19" ht="24.75" customHeight="1" x14ac:dyDescent="0.2">
      <c r="A189" s="984"/>
      <c r="B189" s="986"/>
      <c r="C189" s="992"/>
      <c r="D189" s="1888"/>
      <c r="E189" s="1130" t="s">
        <v>225</v>
      </c>
      <c r="F189" s="1288"/>
      <c r="G189" s="1276"/>
      <c r="H189" s="997"/>
      <c r="I189" s="998"/>
      <c r="J189" s="1019"/>
      <c r="K189" s="1019"/>
      <c r="L189" s="1019"/>
      <c r="M189" s="645"/>
      <c r="N189" s="1129"/>
      <c r="O189" s="1129"/>
      <c r="P189" s="1000"/>
      <c r="Q189" s="471"/>
    </row>
    <row r="190" spans="1:19" ht="24.75" customHeight="1" x14ac:dyDescent="0.2">
      <c r="A190" s="984"/>
      <c r="B190" s="986"/>
      <c r="C190" s="992"/>
      <c r="D190" s="1888"/>
      <c r="E190" s="1130" t="s">
        <v>240</v>
      </c>
      <c r="F190" s="1288"/>
      <c r="G190" s="1276"/>
      <c r="H190" s="997"/>
      <c r="I190" s="998"/>
      <c r="J190" s="1019"/>
      <c r="K190" s="998"/>
      <c r="L190" s="998"/>
      <c r="M190" s="645"/>
      <c r="N190" s="1129"/>
      <c r="O190" s="1000"/>
      <c r="P190" s="1000"/>
      <c r="Q190" s="471"/>
    </row>
    <row r="191" spans="1:19" ht="12" customHeight="1" x14ac:dyDescent="0.2">
      <c r="A191" s="984"/>
      <c r="B191" s="986"/>
      <c r="C191" s="992"/>
      <c r="D191" s="1889"/>
      <c r="E191" s="1128" t="s">
        <v>229</v>
      </c>
      <c r="F191" s="1289"/>
      <c r="G191" s="1277"/>
      <c r="H191" s="1001"/>
      <c r="I191" s="1002"/>
      <c r="J191" s="1041"/>
      <c r="K191" s="1041"/>
      <c r="L191" s="1041"/>
      <c r="M191" s="305"/>
      <c r="N191" s="1131"/>
      <c r="O191" s="1005"/>
      <c r="P191" s="1005"/>
      <c r="Q191" s="172"/>
    </row>
    <row r="192" spans="1:19" ht="18" customHeight="1" thickBot="1" x14ac:dyDescent="0.25">
      <c r="A192" s="26"/>
      <c r="B192" s="928"/>
      <c r="C192" s="267"/>
      <c r="D192" s="270"/>
      <c r="E192" s="277"/>
      <c r="F192" s="276"/>
      <c r="G192" s="269"/>
      <c r="H192" s="22" t="s">
        <v>6</v>
      </c>
      <c r="I192" s="155">
        <f>SUM(I157:I190)</f>
        <v>2334.3000000000002</v>
      </c>
      <c r="J192" s="155">
        <f>SUM(J157:J190)</f>
        <v>2385.9</v>
      </c>
      <c r="K192" s="155">
        <f t="shared" ref="K192:L192" si="1">SUM(K157:K190)</f>
        <v>2553.1999999999998</v>
      </c>
      <c r="L192" s="155">
        <f t="shared" si="1"/>
        <v>2629.9</v>
      </c>
      <c r="M192" s="359"/>
      <c r="N192" s="280"/>
      <c r="O192" s="280"/>
      <c r="P192" s="274"/>
      <c r="Q192" s="494"/>
    </row>
    <row r="193" spans="1:17" ht="14.25" customHeight="1" thickBot="1" x14ac:dyDescent="0.25">
      <c r="A193" s="27" t="s">
        <v>5</v>
      </c>
      <c r="B193" s="63" t="s">
        <v>5</v>
      </c>
      <c r="C193" s="1649" t="s">
        <v>8</v>
      </c>
      <c r="D193" s="1650"/>
      <c r="E193" s="1650"/>
      <c r="F193" s="1650"/>
      <c r="G193" s="1650"/>
      <c r="H193" s="1651"/>
      <c r="I193" s="322">
        <f>I192+I154+I137</f>
        <v>8606.2000000000007</v>
      </c>
      <c r="J193" s="322">
        <f t="shared" ref="J193:L193" si="2">J192+J154+J137</f>
        <v>14155</v>
      </c>
      <c r="K193" s="322">
        <f t="shared" si="2"/>
        <v>19030.900000000001</v>
      </c>
      <c r="L193" s="322">
        <f t="shared" si="2"/>
        <v>20301.3</v>
      </c>
      <c r="M193" s="232"/>
      <c r="N193" s="232"/>
      <c r="O193" s="232"/>
      <c r="P193" s="232"/>
      <c r="Q193" s="197"/>
    </row>
    <row r="194" spans="1:17" ht="17.25" customHeight="1" thickBot="1" x14ac:dyDescent="0.25">
      <c r="A194" s="27" t="s">
        <v>5</v>
      </c>
      <c r="B194" s="63" t="s">
        <v>7</v>
      </c>
      <c r="C194" s="1708" t="s">
        <v>42</v>
      </c>
      <c r="D194" s="1709"/>
      <c r="E194" s="1709"/>
      <c r="F194" s="1709"/>
      <c r="G194" s="1709"/>
      <c r="H194" s="1709"/>
      <c r="I194" s="1709"/>
      <c r="J194" s="1709"/>
      <c r="K194" s="1709"/>
      <c r="L194" s="1709"/>
      <c r="M194" s="1709"/>
      <c r="N194" s="1709"/>
      <c r="O194" s="1709"/>
      <c r="P194" s="1709"/>
      <c r="Q194" s="1710"/>
    </row>
    <row r="195" spans="1:17" ht="27.75" customHeight="1" x14ac:dyDescent="0.2">
      <c r="A195" s="68" t="s">
        <v>5</v>
      </c>
      <c r="B195" s="97" t="s">
        <v>7</v>
      </c>
      <c r="C195" s="279" t="s">
        <v>5</v>
      </c>
      <c r="D195" s="188"/>
      <c r="E195" s="189" t="s">
        <v>74</v>
      </c>
      <c r="F195" s="98"/>
      <c r="G195" s="1923" t="s">
        <v>438</v>
      </c>
      <c r="H195" s="45"/>
      <c r="I195" s="157"/>
      <c r="J195" s="157"/>
      <c r="K195" s="547"/>
      <c r="L195" s="547"/>
      <c r="M195" s="548"/>
      <c r="N195" s="149"/>
      <c r="O195" s="144"/>
      <c r="P195" s="144"/>
      <c r="Q195" s="75"/>
    </row>
    <row r="196" spans="1:17" ht="18" customHeight="1" x14ac:dyDescent="0.2">
      <c r="A196" s="69"/>
      <c r="B196" s="203"/>
      <c r="C196" s="272"/>
      <c r="D196" s="102" t="s">
        <v>5</v>
      </c>
      <c r="E196" s="1686" t="s">
        <v>52</v>
      </c>
      <c r="F196" s="923"/>
      <c r="G196" s="1924"/>
      <c r="H196" s="49" t="s">
        <v>24</v>
      </c>
      <c r="I196" s="590">
        <v>15.3</v>
      </c>
      <c r="J196" s="590">
        <v>23</v>
      </c>
      <c r="K196" s="551">
        <v>24.1</v>
      </c>
      <c r="L196" s="551">
        <v>24.1</v>
      </c>
      <c r="M196" s="942" t="s">
        <v>116</v>
      </c>
      <c r="N196" s="379">
        <v>350</v>
      </c>
      <c r="O196" s="503">
        <v>310</v>
      </c>
      <c r="P196" s="503">
        <v>320</v>
      </c>
      <c r="Q196" s="380">
        <v>320</v>
      </c>
    </row>
    <row r="197" spans="1:17" ht="28.5" customHeight="1" x14ac:dyDescent="0.2">
      <c r="A197" s="69"/>
      <c r="B197" s="203"/>
      <c r="C197" s="272"/>
      <c r="D197" s="52"/>
      <c r="E197" s="1686"/>
      <c r="F197" s="923"/>
      <c r="G197" s="1924"/>
      <c r="H197" s="50"/>
      <c r="I197" s="226"/>
      <c r="J197" s="226"/>
      <c r="K197" s="675"/>
      <c r="L197" s="675"/>
      <c r="M197" s="1161" t="s">
        <v>117</v>
      </c>
      <c r="N197" s="150">
        <v>300</v>
      </c>
      <c r="O197" s="363">
        <v>300</v>
      </c>
      <c r="P197" s="363">
        <v>300</v>
      </c>
      <c r="Q197" s="381">
        <v>300</v>
      </c>
    </row>
    <row r="198" spans="1:17" ht="33" customHeight="1" x14ac:dyDescent="0.2">
      <c r="A198" s="69"/>
      <c r="B198" s="203"/>
      <c r="C198" s="938"/>
      <c r="D198" s="103"/>
      <c r="E198" s="1662"/>
      <c r="F198" s="924"/>
      <c r="G198" s="1924"/>
      <c r="H198" s="51"/>
      <c r="I198" s="88"/>
      <c r="J198" s="88"/>
      <c r="K198" s="523"/>
      <c r="L198" s="523"/>
      <c r="M198" s="527" t="s">
        <v>78</v>
      </c>
      <c r="N198" s="377">
        <v>11</v>
      </c>
      <c r="O198" s="364">
        <v>27</v>
      </c>
      <c r="P198" s="364">
        <v>27</v>
      </c>
      <c r="Q198" s="378">
        <v>27</v>
      </c>
    </row>
    <row r="199" spans="1:17" ht="14.25" customHeight="1" x14ac:dyDescent="0.2">
      <c r="A199" s="69"/>
      <c r="B199" s="203"/>
      <c r="C199" s="272"/>
      <c r="D199" s="919" t="s">
        <v>7</v>
      </c>
      <c r="E199" s="1661" t="s">
        <v>461</v>
      </c>
      <c r="F199" s="923"/>
      <c r="G199" s="644"/>
      <c r="H199" s="53" t="s">
        <v>24</v>
      </c>
      <c r="I199" s="87">
        <v>550</v>
      </c>
      <c r="J199" s="87">
        <v>433.7</v>
      </c>
      <c r="K199" s="93">
        <f>506+96.5</f>
        <v>602.5</v>
      </c>
      <c r="L199" s="93">
        <f>386.5+40.5</f>
        <v>427</v>
      </c>
      <c r="M199" s="1711" t="s">
        <v>97</v>
      </c>
      <c r="N199" s="150">
        <v>18</v>
      </c>
      <c r="O199" s="503">
        <v>18</v>
      </c>
      <c r="P199" s="503">
        <v>18</v>
      </c>
      <c r="Q199" s="380">
        <v>18</v>
      </c>
    </row>
    <row r="200" spans="1:17" ht="16.5" customHeight="1" x14ac:dyDescent="0.2">
      <c r="A200" s="69"/>
      <c r="B200" s="203"/>
      <c r="C200" s="272"/>
      <c r="D200" s="52"/>
      <c r="E200" s="1703"/>
      <c r="F200" s="923"/>
      <c r="G200" s="644"/>
      <c r="H200" s="1139" t="s">
        <v>58</v>
      </c>
      <c r="I200" s="89">
        <f>11.8+13.8+10</f>
        <v>35.6</v>
      </c>
      <c r="J200" s="89"/>
      <c r="K200" s="89"/>
      <c r="L200" s="675"/>
      <c r="M200" s="1712"/>
      <c r="N200" s="1033"/>
      <c r="O200" s="429"/>
      <c r="P200" s="429"/>
      <c r="Q200" s="72"/>
    </row>
    <row r="201" spans="1:17" ht="18" customHeight="1" x14ac:dyDescent="0.2">
      <c r="A201" s="69"/>
      <c r="B201" s="203"/>
      <c r="C201" s="272"/>
      <c r="D201" s="52"/>
      <c r="E201" s="1703"/>
      <c r="F201" s="1136"/>
      <c r="G201" s="644"/>
      <c r="H201" s="23" t="s">
        <v>58</v>
      </c>
      <c r="I201" s="226"/>
      <c r="J201" s="226">
        <v>140</v>
      </c>
      <c r="K201" s="675"/>
      <c r="L201" s="138"/>
      <c r="M201" s="1681" t="s">
        <v>231</v>
      </c>
      <c r="N201" s="1032"/>
      <c r="O201" s="323">
        <v>33</v>
      </c>
      <c r="P201" s="217">
        <v>66</v>
      </c>
      <c r="Q201" s="324">
        <v>100</v>
      </c>
    </row>
    <row r="202" spans="1:17" ht="12" customHeight="1" x14ac:dyDescent="0.2">
      <c r="A202" s="69"/>
      <c r="B202" s="203"/>
      <c r="C202" s="272"/>
      <c r="D202" s="52"/>
      <c r="E202" s="1703"/>
      <c r="F202" s="1136"/>
      <c r="G202" s="644"/>
      <c r="H202" s="23"/>
      <c r="I202" s="226"/>
      <c r="J202" s="226"/>
      <c r="K202" s="226"/>
      <c r="L202" s="226"/>
      <c r="M202" s="1713"/>
      <c r="N202" s="786">
        <v>5</v>
      </c>
      <c r="O202" s="786"/>
      <c r="P202" s="787"/>
      <c r="Q202" s="1034"/>
    </row>
    <row r="203" spans="1:17" ht="27.75" customHeight="1" x14ac:dyDescent="0.2">
      <c r="A203" s="69"/>
      <c r="B203" s="203"/>
      <c r="C203" s="272"/>
      <c r="D203" s="52"/>
      <c r="E203" s="1703"/>
      <c r="F203" s="1136"/>
      <c r="G203" s="644"/>
      <c r="H203" s="50"/>
      <c r="I203" s="226"/>
      <c r="J203" s="675"/>
      <c r="K203" s="675"/>
      <c r="L203" s="226"/>
      <c r="M203" s="557" t="s">
        <v>395</v>
      </c>
      <c r="N203" s="217"/>
      <c r="O203" s="323">
        <v>200</v>
      </c>
      <c r="P203" s="217"/>
      <c r="Q203" s="1140"/>
    </row>
    <row r="204" spans="1:17" ht="26.25" customHeight="1" x14ac:dyDescent="0.2">
      <c r="A204" s="69"/>
      <c r="B204" s="203"/>
      <c r="C204" s="272"/>
      <c r="D204" s="52"/>
      <c r="E204" s="1138"/>
      <c r="F204" s="1136"/>
      <c r="G204" s="644"/>
      <c r="H204" s="50"/>
      <c r="I204" s="226"/>
      <c r="J204" s="226"/>
      <c r="K204" s="675"/>
      <c r="L204" s="226"/>
      <c r="M204" s="549" t="s">
        <v>230</v>
      </c>
      <c r="N204" s="544">
        <v>7.5</v>
      </c>
      <c r="O204" s="545">
        <v>5.7</v>
      </c>
      <c r="P204" s="545">
        <v>5.7</v>
      </c>
      <c r="Q204" s="546">
        <v>5.7</v>
      </c>
    </row>
    <row r="205" spans="1:17" ht="16.5" customHeight="1" x14ac:dyDescent="0.2">
      <c r="A205" s="69"/>
      <c r="B205" s="203"/>
      <c r="C205" s="272"/>
      <c r="D205" s="52"/>
      <c r="E205" s="1227"/>
      <c r="F205" s="1229"/>
      <c r="G205" s="644"/>
      <c r="H205" s="50"/>
      <c r="I205" s="226"/>
      <c r="J205" s="226"/>
      <c r="K205" s="675"/>
      <c r="L205" s="226"/>
      <c r="M205" s="549" t="s">
        <v>421</v>
      </c>
      <c r="N205" s="544"/>
      <c r="O205" s="545">
        <v>13</v>
      </c>
      <c r="P205" s="545"/>
      <c r="Q205" s="546"/>
    </row>
    <row r="206" spans="1:17" ht="26.25" customHeight="1" x14ac:dyDescent="0.2">
      <c r="A206" s="69"/>
      <c r="B206" s="203"/>
      <c r="C206" s="272"/>
      <c r="D206" s="52"/>
      <c r="E206" s="1138"/>
      <c r="F206" s="1136"/>
      <c r="G206" s="644"/>
      <c r="H206" s="23"/>
      <c r="I206" s="226"/>
      <c r="J206" s="226"/>
      <c r="K206" s="226"/>
      <c r="L206" s="226"/>
      <c r="M206" s="1161" t="s">
        <v>232</v>
      </c>
      <c r="N206" s="1033">
        <v>10</v>
      </c>
      <c r="O206" s="786"/>
      <c r="P206" s="1033">
        <v>100</v>
      </c>
      <c r="Q206" s="72"/>
    </row>
    <row r="207" spans="1:17" ht="26.25" customHeight="1" x14ac:dyDescent="0.2">
      <c r="A207" s="69"/>
      <c r="B207" s="203"/>
      <c r="C207" s="272"/>
      <c r="D207" s="52"/>
      <c r="E207" s="1138"/>
      <c r="F207" s="1136"/>
      <c r="G207" s="644"/>
      <c r="H207" s="23"/>
      <c r="I207" s="226"/>
      <c r="J207" s="675"/>
      <c r="K207" s="675"/>
      <c r="L207" s="226"/>
      <c r="M207" s="1035" t="s">
        <v>396</v>
      </c>
      <c r="N207" s="151"/>
      <c r="O207" s="430"/>
      <c r="P207" s="151"/>
      <c r="Q207" s="260">
        <v>100</v>
      </c>
    </row>
    <row r="208" spans="1:17" ht="26.25" customHeight="1" x14ac:dyDescent="0.2">
      <c r="A208" s="69"/>
      <c r="B208" s="203"/>
      <c r="C208" s="272"/>
      <c r="D208" s="103"/>
      <c r="E208" s="278"/>
      <c r="F208" s="1137"/>
      <c r="G208" s="644"/>
      <c r="H208" s="54"/>
      <c r="I208" s="88"/>
      <c r="J208" s="523"/>
      <c r="K208" s="523"/>
      <c r="L208" s="523"/>
      <c r="M208" s="1095" t="s">
        <v>397</v>
      </c>
      <c r="N208" s="1141"/>
      <c r="O208" s="1142"/>
      <c r="P208" s="1142"/>
      <c r="Q208" s="1163">
        <v>700</v>
      </c>
    </row>
    <row r="209" spans="1:19" ht="16.5" customHeight="1" x14ac:dyDescent="0.2">
      <c r="A209" s="69"/>
      <c r="B209" s="203"/>
      <c r="C209" s="272"/>
      <c r="D209" s="1724" t="s">
        <v>26</v>
      </c>
      <c r="E209" s="1698" t="s">
        <v>372</v>
      </c>
      <c r="F209" s="1700"/>
      <c r="G209" s="644"/>
      <c r="H209" s="50" t="s">
        <v>24</v>
      </c>
      <c r="I209" s="675"/>
      <c r="J209" s="226"/>
      <c r="K209" s="675"/>
      <c r="L209" s="675">
        <v>117</v>
      </c>
      <c r="M209" s="1162" t="s">
        <v>411</v>
      </c>
      <c r="N209" s="1033"/>
      <c r="O209" s="1033"/>
      <c r="P209" s="1033"/>
      <c r="Q209" s="1036">
        <v>1</v>
      </c>
    </row>
    <row r="210" spans="1:19" ht="7.5" customHeight="1" x14ac:dyDescent="0.2">
      <c r="A210" s="69"/>
      <c r="B210" s="203"/>
      <c r="C210" s="272"/>
      <c r="D210" s="1831"/>
      <c r="E210" s="1699"/>
      <c r="F210" s="1701"/>
      <c r="G210" s="58"/>
      <c r="H210" s="51"/>
      <c r="I210" s="88"/>
      <c r="J210" s="523"/>
      <c r="K210" s="88"/>
      <c r="L210" s="88"/>
      <c r="M210" s="194"/>
      <c r="N210" s="1037"/>
      <c r="O210" s="1037"/>
      <c r="P210" s="1037"/>
      <c r="Q210" s="1038"/>
    </row>
    <row r="211" spans="1:19" ht="15.75" customHeight="1" thickBot="1" x14ac:dyDescent="0.25">
      <c r="A211" s="26"/>
      <c r="B211" s="928"/>
      <c r="C211" s="267"/>
      <c r="D211" s="505"/>
      <c r="E211" s="277"/>
      <c r="F211" s="276"/>
      <c r="G211" s="269"/>
      <c r="H211" s="22" t="s">
        <v>6</v>
      </c>
      <c r="I211" s="155">
        <f>SUM(I196:I208)</f>
        <v>600.9</v>
      </c>
      <c r="J211" s="155">
        <f t="shared" ref="J211:K211" si="3">SUM(J196:J208)</f>
        <v>596.70000000000005</v>
      </c>
      <c r="K211" s="155">
        <f t="shared" si="3"/>
        <v>626.6</v>
      </c>
      <c r="L211" s="155">
        <f>SUM(L196:L209)</f>
        <v>568.1</v>
      </c>
      <c r="M211" s="268"/>
      <c r="N211" s="280"/>
      <c r="O211" s="280"/>
      <c r="P211" s="280"/>
      <c r="Q211" s="494"/>
    </row>
    <row r="212" spans="1:19" ht="14.25" customHeight="1" thickBot="1" x14ac:dyDescent="0.25">
      <c r="A212" s="28" t="s">
        <v>5</v>
      </c>
      <c r="B212" s="6" t="s">
        <v>7</v>
      </c>
      <c r="C212" s="1650" t="s">
        <v>8</v>
      </c>
      <c r="D212" s="1650"/>
      <c r="E212" s="1650"/>
      <c r="F212" s="1650"/>
      <c r="G212" s="1650"/>
      <c r="H212" s="1650"/>
      <c r="I212" s="92">
        <f t="shared" ref="I212:L212" si="4">I211</f>
        <v>600.9</v>
      </c>
      <c r="J212" s="92">
        <f t="shared" si="4"/>
        <v>596.70000000000005</v>
      </c>
      <c r="K212" s="92">
        <f t="shared" si="4"/>
        <v>626.6</v>
      </c>
      <c r="L212" s="92">
        <f t="shared" si="4"/>
        <v>568.1</v>
      </c>
      <c r="M212" s="232"/>
      <c r="N212" s="232"/>
      <c r="O212" s="232"/>
      <c r="P212" s="232"/>
      <c r="Q212" s="197"/>
    </row>
    <row r="213" spans="1:19" ht="17.25" customHeight="1" thickBot="1" x14ac:dyDescent="0.25">
      <c r="A213" s="27" t="s">
        <v>5</v>
      </c>
      <c r="B213" s="6" t="s">
        <v>26</v>
      </c>
      <c r="C213" s="1663" t="s">
        <v>127</v>
      </c>
      <c r="D213" s="1664"/>
      <c r="E213" s="1664"/>
      <c r="F213" s="1664"/>
      <c r="G213" s="1664"/>
      <c r="H213" s="1664"/>
      <c r="I213" s="1702"/>
      <c r="J213" s="1702"/>
      <c r="K213" s="1702"/>
      <c r="L213" s="1702"/>
      <c r="M213" s="1702"/>
      <c r="N213" s="1702"/>
      <c r="O213" s="1702"/>
      <c r="P213" s="235"/>
      <c r="Q213" s="199"/>
    </row>
    <row r="214" spans="1:19" ht="27.75" customHeight="1" x14ac:dyDescent="0.2">
      <c r="A214" s="238" t="s">
        <v>5</v>
      </c>
      <c r="B214" s="233" t="s">
        <v>26</v>
      </c>
      <c r="C214" s="940" t="s">
        <v>5</v>
      </c>
      <c r="D214" s="325"/>
      <c r="E214" s="326" t="s">
        <v>418</v>
      </c>
      <c r="F214" s="245"/>
      <c r="G214" s="530"/>
      <c r="H214" s="327"/>
      <c r="I214" s="328"/>
      <c r="J214" s="329"/>
      <c r="K214" s="506"/>
      <c r="L214" s="506"/>
      <c r="M214" s="194"/>
      <c r="N214" s="330"/>
      <c r="O214" s="349"/>
      <c r="P214" s="436"/>
      <c r="Q214" s="909"/>
    </row>
    <row r="215" spans="1:19" ht="14.25" customHeight="1" x14ac:dyDescent="0.2">
      <c r="A215" s="238"/>
      <c r="B215" s="233"/>
      <c r="C215" s="940"/>
      <c r="D215" s="46" t="s">
        <v>5</v>
      </c>
      <c r="E215" s="1906" t="s">
        <v>246</v>
      </c>
      <c r="F215" s="1149" t="s">
        <v>47</v>
      </c>
      <c r="G215" s="1884" t="s">
        <v>432</v>
      </c>
      <c r="H215" s="1271" t="s">
        <v>24</v>
      </c>
      <c r="I215" s="107">
        <f>1400-300+111</f>
        <v>1211</v>
      </c>
      <c r="J215" s="93">
        <v>1200</v>
      </c>
      <c r="K215" s="87">
        <v>1200</v>
      </c>
      <c r="L215" s="87">
        <v>1200</v>
      </c>
      <c r="M215" s="181"/>
      <c r="N215" s="3"/>
      <c r="O215" s="504"/>
      <c r="P215" s="504"/>
      <c r="Q215" s="182"/>
      <c r="R215" s="1690"/>
      <c r="S215" s="1690"/>
    </row>
    <row r="216" spans="1:19" ht="11.25" customHeight="1" x14ac:dyDescent="0.2">
      <c r="A216" s="238"/>
      <c r="B216" s="233"/>
      <c r="C216" s="940"/>
      <c r="D216" s="46"/>
      <c r="E216" s="1907"/>
      <c r="F216" s="1144"/>
      <c r="G216" s="1860"/>
      <c r="H216" s="935" t="s">
        <v>58</v>
      </c>
      <c r="I216" s="107">
        <v>725.7</v>
      </c>
      <c r="J216" s="675">
        <v>85.2</v>
      </c>
      <c r="K216" s="226"/>
      <c r="L216" s="226"/>
      <c r="M216" s="261"/>
      <c r="N216" s="371"/>
      <c r="O216" s="438"/>
      <c r="P216" s="438"/>
      <c r="Q216" s="263"/>
    </row>
    <row r="217" spans="1:19" ht="15" customHeight="1" x14ac:dyDescent="0.2">
      <c r="A217" s="238"/>
      <c r="B217" s="233"/>
      <c r="C217" s="940"/>
      <c r="D217" s="46"/>
      <c r="E217" s="1150" t="s">
        <v>131</v>
      </c>
      <c r="F217" s="1144"/>
      <c r="G217" s="1860"/>
      <c r="H217" s="935"/>
      <c r="I217" s="307"/>
      <c r="J217" s="675"/>
      <c r="K217" s="226"/>
      <c r="L217" s="226"/>
      <c r="M217" s="306" t="s">
        <v>233</v>
      </c>
      <c r="N217" s="308">
        <v>10</v>
      </c>
      <c r="O217" s="439">
        <v>10</v>
      </c>
      <c r="P217" s="439">
        <v>10</v>
      </c>
      <c r="Q217" s="309">
        <v>10</v>
      </c>
    </row>
    <row r="218" spans="1:19" ht="13.5" customHeight="1" x14ac:dyDescent="0.2">
      <c r="A218" s="238"/>
      <c r="B218" s="233"/>
      <c r="C218" s="940"/>
      <c r="D218" s="46"/>
      <c r="E218" s="1901" t="s">
        <v>262</v>
      </c>
      <c r="F218" s="1144"/>
      <c r="G218" s="1109"/>
      <c r="H218" s="935"/>
      <c r="I218" s="107"/>
      <c r="J218" s="675"/>
      <c r="K218" s="226"/>
      <c r="L218" s="226"/>
      <c r="M218" s="1693" t="s">
        <v>202</v>
      </c>
      <c r="N218" s="333">
        <v>726</v>
      </c>
      <c r="O218" s="440">
        <v>329</v>
      </c>
      <c r="P218" s="440">
        <v>315</v>
      </c>
      <c r="Q218" s="334">
        <v>308</v>
      </c>
    </row>
    <row r="219" spans="1:19" ht="13.5" customHeight="1" x14ac:dyDescent="0.2">
      <c r="A219" s="238"/>
      <c r="B219" s="233"/>
      <c r="C219" s="940"/>
      <c r="D219" s="46"/>
      <c r="E219" s="1902"/>
      <c r="F219" s="1144"/>
      <c r="G219" s="1109"/>
      <c r="H219" s="935"/>
      <c r="I219" s="107"/>
      <c r="J219" s="675"/>
      <c r="K219" s="226"/>
      <c r="L219" s="226"/>
      <c r="M219" s="1694"/>
      <c r="N219" s="518"/>
      <c r="O219" s="1186"/>
      <c r="P219" s="1186"/>
      <c r="Q219" s="1187"/>
    </row>
    <row r="220" spans="1:19" ht="26.25" customHeight="1" x14ac:dyDescent="0.2">
      <c r="A220" s="238"/>
      <c r="B220" s="233"/>
      <c r="C220" s="940"/>
      <c r="D220" s="325"/>
      <c r="E220" s="1175" t="s">
        <v>245</v>
      </c>
      <c r="F220" s="1173"/>
      <c r="G220" s="1174"/>
      <c r="H220" s="248"/>
      <c r="I220" s="1176"/>
      <c r="J220" s="523"/>
      <c r="K220" s="88"/>
      <c r="L220" s="88"/>
      <c r="M220" s="180" t="s">
        <v>142</v>
      </c>
      <c r="N220" s="1185">
        <v>10</v>
      </c>
      <c r="O220" s="1216">
        <v>7.9</v>
      </c>
      <c r="P220" s="1216">
        <v>6.9</v>
      </c>
      <c r="Q220" s="1217">
        <v>5.7</v>
      </c>
    </row>
    <row r="221" spans="1:19" ht="13.5" customHeight="1" x14ac:dyDescent="0.2">
      <c r="A221" s="1105"/>
      <c r="B221" s="1106"/>
      <c r="C221" s="1110"/>
      <c r="D221" s="1544" t="s">
        <v>7</v>
      </c>
      <c r="E221" s="1903" t="s">
        <v>146</v>
      </c>
      <c r="F221" s="1854" t="s">
        <v>389</v>
      </c>
      <c r="G221" s="1852" t="s">
        <v>431</v>
      </c>
      <c r="H221" s="142" t="s">
        <v>24</v>
      </c>
      <c r="I221" s="226">
        <v>66.8</v>
      </c>
      <c r="J221" s="226">
        <v>187</v>
      </c>
      <c r="K221" s="226">
        <v>691.6</v>
      </c>
      <c r="L221" s="226">
        <v>537.5</v>
      </c>
      <c r="M221" s="1107" t="s">
        <v>87</v>
      </c>
      <c r="N221" s="145">
        <v>1</v>
      </c>
      <c r="O221" s="117">
        <v>1</v>
      </c>
      <c r="P221" s="117"/>
      <c r="Q221" s="471"/>
    </row>
    <row r="222" spans="1:19" ht="15.75" customHeight="1" x14ac:dyDescent="0.2">
      <c r="A222" s="1105"/>
      <c r="B222" s="1106"/>
      <c r="C222" s="1110"/>
      <c r="D222" s="1544"/>
      <c r="E222" s="1904"/>
      <c r="F222" s="1854"/>
      <c r="G222" s="1855"/>
      <c r="H222" s="142" t="s">
        <v>58</v>
      </c>
      <c r="I222" s="226">
        <v>107.3</v>
      </c>
      <c r="J222" s="569">
        <v>122.7</v>
      </c>
      <c r="K222" s="569"/>
      <c r="L222" s="569"/>
      <c r="M222" s="1696" t="s">
        <v>414</v>
      </c>
      <c r="N222" s="497">
        <v>40</v>
      </c>
      <c r="O222" s="497">
        <v>50</v>
      </c>
      <c r="P222" s="497">
        <v>90</v>
      </c>
      <c r="Q222" s="498">
        <v>100</v>
      </c>
    </row>
    <row r="223" spans="1:19" ht="15" customHeight="1" x14ac:dyDescent="0.2">
      <c r="A223" s="1105"/>
      <c r="B223" s="1106"/>
      <c r="C223" s="1110"/>
      <c r="D223" s="1546"/>
      <c r="E223" s="1905"/>
      <c r="F223" s="1854"/>
      <c r="G223" s="1108"/>
      <c r="H223" s="142" t="s">
        <v>48</v>
      </c>
      <c r="I223" s="226">
        <v>737.4</v>
      </c>
      <c r="J223" s="120">
        <v>935.2</v>
      </c>
      <c r="K223" s="120">
        <v>2103.6</v>
      </c>
      <c r="L223" s="120">
        <v>1636.2</v>
      </c>
      <c r="M223" s="1694"/>
      <c r="N223" s="470"/>
      <c r="O223" s="470"/>
      <c r="P223" s="470"/>
      <c r="Q223" s="492"/>
    </row>
    <row r="224" spans="1:19" ht="26.25" customHeight="1" x14ac:dyDescent="0.2">
      <c r="A224" s="1533"/>
      <c r="B224" s="1538"/>
      <c r="C224" s="1541"/>
      <c r="D224" s="1546"/>
      <c r="E224" s="1548"/>
      <c r="F224" s="1543"/>
      <c r="G224" s="1542"/>
      <c r="H224" s="142" t="s">
        <v>168</v>
      </c>
      <c r="I224" s="226">
        <v>65.099999999999994</v>
      </c>
      <c r="J224" s="226">
        <v>82.5</v>
      </c>
      <c r="K224" s="226">
        <v>185.6</v>
      </c>
      <c r="L224" s="226">
        <v>144.4</v>
      </c>
      <c r="M224" s="41" t="s">
        <v>202</v>
      </c>
      <c r="N224" s="439"/>
      <c r="O224" s="439"/>
      <c r="P224" s="1549">
        <v>200</v>
      </c>
      <c r="Q224" s="1550">
        <v>246</v>
      </c>
    </row>
    <row r="225" spans="1:20" ht="24.75" customHeight="1" x14ac:dyDescent="0.2">
      <c r="A225" s="1533"/>
      <c r="B225" s="1538"/>
      <c r="C225" s="1541"/>
      <c r="D225" s="1546"/>
      <c r="E225" s="1532"/>
      <c r="F225" s="1543"/>
      <c r="G225" s="1542"/>
      <c r="H225" s="142"/>
      <c r="I225" s="675"/>
      <c r="J225" s="675"/>
      <c r="K225" s="226"/>
      <c r="L225" s="226"/>
      <c r="M225" s="194" t="s">
        <v>452</v>
      </c>
      <c r="N225" s="1547"/>
      <c r="O225" s="1547"/>
      <c r="P225" s="1551">
        <v>100</v>
      </c>
      <c r="Q225" s="286">
        <v>159</v>
      </c>
    </row>
    <row r="226" spans="1:20" ht="24.75" customHeight="1" x14ac:dyDescent="0.2">
      <c r="A226" s="1683"/>
      <c r="B226" s="1684"/>
      <c r="C226" s="1866"/>
      <c r="D226" s="1861" t="s">
        <v>26</v>
      </c>
      <c r="E226" s="1863" t="s">
        <v>132</v>
      </c>
      <c r="F226" s="1687"/>
      <c r="G226" s="1853" t="s">
        <v>430</v>
      </c>
      <c r="H226" s="575" t="s">
        <v>24</v>
      </c>
      <c r="I226" s="93">
        <v>2.1</v>
      </c>
      <c r="J226" s="93">
        <v>2.1</v>
      </c>
      <c r="K226" s="87">
        <v>2.1</v>
      </c>
      <c r="L226" s="87">
        <v>2.1</v>
      </c>
      <c r="M226" s="996" t="s">
        <v>141</v>
      </c>
      <c r="N226" s="153">
        <v>1</v>
      </c>
      <c r="O226" s="400">
        <v>1</v>
      </c>
      <c r="P226" s="146">
        <v>1</v>
      </c>
      <c r="Q226" s="175">
        <v>1</v>
      </c>
    </row>
    <row r="227" spans="1:20" ht="55.5" customHeight="1" x14ac:dyDescent="0.2">
      <c r="A227" s="1683"/>
      <c r="B227" s="1684"/>
      <c r="C227" s="1866"/>
      <c r="D227" s="1862"/>
      <c r="E227" s="1864"/>
      <c r="F227" s="1688"/>
      <c r="G227" s="1852"/>
      <c r="H227" s="1124"/>
      <c r="I227" s="675"/>
      <c r="J227" s="675"/>
      <c r="K227" s="226"/>
      <c r="L227" s="226"/>
      <c r="M227" s="1133"/>
      <c r="N227" s="152"/>
      <c r="O227" s="335"/>
      <c r="P227" s="145"/>
      <c r="Q227" s="223"/>
    </row>
    <row r="228" spans="1:20" ht="26.25" customHeight="1" x14ac:dyDescent="0.2">
      <c r="A228" s="915"/>
      <c r="B228" s="917"/>
      <c r="C228" s="272"/>
      <c r="D228" s="1126" t="s">
        <v>34</v>
      </c>
      <c r="E228" s="1679" t="s">
        <v>276</v>
      </c>
      <c r="F228" s="1117"/>
      <c r="G228" s="1844" t="s">
        <v>430</v>
      </c>
      <c r="H228" s="575" t="s">
        <v>24</v>
      </c>
      <c r="I228" s="87"/>
      <c r="J228" s="87">
        <v>210</v>
      </c>
      <c r="K228" s="1023"/>
      <c r="L228" s="1023"/>
      <c r="M228" s="1262" t="s">
        <v>391</v>
      </c>
      <c r="N228" s="1267"/>
      <c r="O228" s="1268">
        <v>1</v>
      </c>
      <c r="P228" s="1269"/>
      <c r="Q228" s="1270"/>
      <c r="R228" s="8"/>
    </row>
    <row r="229" spans="1:20" ht="25.5" customHeight="1" x14ac:dyDescent="0.2">
      <c r="A229" s="915"/>
      <c r="B229" s="917"/>
      <c r="C229" s="272"/>
      <c r="D229" s="1120"/>
      <c r="E229" s="1680"/>
      <c r="F229" s="1118"/>
      <c r="G229" s="1826"/>
      <c r="H229" s="179" t="s">
        <v>24</v>
      </c>
      <c r="I229" s="136"/>
      <c r="J229" s="136">
        <v>20</v>
      </c>
      <c r="K229" s="136">
        <v>35</v>
      </c>
      <c r="L229" s="136">
        <v>60</v>
      </c>
      <c r="M229" s="41" t="s">
        <v>165</v>
      </c>
      <c r="N229" s="174">
        <v>8</v>
      </c>
      <c r="O229" s="409">
        <v>8</v>
      </c>
      <c r="P229" s="526">
        <v>11</v>
      </c>
      <c r="Q229" s="491">
        <v>15</v>
      </c>
      <c r="R229" s="8"/>
    </row>
    <row r="230" spans="1:20" ht="17.25" customHeight="1" x14ac:dyDescent="0.2">
      <c r="A230" s="25"/>
      <c r="B230" s="920"/>
      <c r="C230" s="272"/>
      <c r="D230" s="1120"/>
      <c r="E230" s="1680"/>
      <c r="F230" s="1122"/>
      <c r="G230" s="1860"/>
      <c r="H230" s="179" t="s">
        <v>24</v>
      </c>
      <c r="I230" s="136"/>
      <c r="J230" s="136">
        <v>7</v>
      </c>
      <c r="K230" s="136">
        <v>7</v>
      </c>
      <c r="L230" s="136">
        <v>7</v>
      </c>
      <c r="M230" s="30" t="s">
        <v>236</v>
      </c>
      <c r="N230" s="160">
        <v>100</v>
      </c>
      <c r="O230" s="308">
        <v>100</v>
      </c>
      <c r="P230" s="439">
        <v>100</v>
      </c>
      <c r="Q230" s="309">
        <v>100</v>
      </c>
    </row>
    <row r="231" spans="1:20" ht="18" customHeight="1" x14ac:dyDescent="0.2">
      <c r="A231" s="25"/>
      <c r="B231" s="1264"/>
      <c r="C231" s="272"/>
      <c r="D231" s="1263"/>
      <c r="E231" s="1680"/>
      <c r="F231" s="1265"/>
      <c r="G231" s="1266"/>
      <c r="H231" s="310" t="s">
        <v>24</v>
      </c>
      <c r="I231" s="138">
        <v>165</v>
      </c>
      <c r="J231" s="138"/>
      <c r="K231" s="138">
        <v>105</v>
      </c>
      <c r="L231" s="137">
        <v>105</v>
      </c>
      <c r="M231" s="1578" t="s">
        <v>164</v>
      </c>
      <c r="N231" s="768">
        <v>3</v>
      </c>
      <c r="O231" s="768">
        <v>1</v>
      </c>
      <c r="P231" s="768">
        <v>3</v>
      </c>
      <c r="Q231" s="769">
        <v>3</v>
      </c>
      <c r="T231" s="208"/>
    </row>
    <row r="232" spans="1:20" ht="16.5" customHeight="1" x14ac:dyDescent="0.2">
      <c r="A232" s="25"/>
      <c r="B232" s="1573"/>
      <c r="C232" s="272"/>
      <c r="D232" s="1574"/>
      <c r="E232" s="1680"/>
      <c r="F232" s="1575"/>
      <c r="G232" s="1572"/>
      <c r="H232" s="1576" t="s">
        <v>58</v>
      </c>
      <c r="I232" s="675"/>
      <c r="J232" s="675">
        <v>35</v>
      </c>
      <c r="K232" s="675"/>
      <c r="L232" s="226"/>
      <c r="M232" s="1579"/>
      <c r="N232" s="123"/>
      <c r="O232" s="288"/>
      <c r="P232" s="332"/>
      <c r="Q232" s="289"/>
      <c r="T232" s="208"/>
    </row>
    <row r="233" spans="1:20" ht="18.75" customHeight="1" x14ac:dyDescent="0.2">
      <c r="A233" s="25"/>
      <c r="B233" s="995"/>
      <c r="C233" s="272"/>
      <c r="D233" s="1295"/>
      <c r="E233" s="1680"/>
      <c r="F233" s="1293"/>
      <c r="G233" s="1298"/>
      <c r="H233" s="310" t="s">
        <v>24</v>
      </c>
      <c r="I233" s="138"/>
      <c r="J233" s="138"/>
      <c r="K233" s="138">
        <v>70</v>
      </c>
      <c r="L233" s="137">
        <v>70</v>
      </c>
      <c r="M233" s="1681" t="s">
        <v>238</v>
      </c>
      <c r="N233" s="517">
        <v>3</v>
      </c>
      <c r="O233" s="333">
        <v>2</v>
      </c>
      <c r="P233" s="440">
        <v>7</v>
      </c>
      <c r="Q233" s="334">
        <v>7</v>
      </c>
    </row>
    <row r="234" spans="1:20" ht="21.75" customHeight="1" x14ac:dyDescent="0.2">
      <c r="A234" s="25"/>
      <c r="B234" s="1573"/>
      <c r="C234" s="272"/>
      <c r="D234" s="1574"/>
      <c r="E234" s="1571"/>
      <c r="F234" s="1577"/>
      <c r="G234" s="1572"/>
      <c r="H234" s="370" t="s">
        <v>58</v>
      </c>
      <c r="I234" s="127"/>
      <c r="J234" s="127">
        <v>15</v>
      </c>
      <c r="K234" s="127"/>
      <c r="L234" s="89"/>
      <c r="M234" s="1713"/>
      <c r="N234" s="1580"/>
      <c r="O234" s="518"/>
      <c r="P234" s="519"/>
      <c r="Q234" s="1581"/>
    </row>
    <row r="235" spans="1:20" ht="15" customHeight="1" x14ac:dyDescent="0.2">
      <c r="A235" s="25"/>
      <c r="B235" s="1297"/>
      <c r="C235" s="272"/>
      <c r="D235" s="1300"/>
      <c r="E235" s="1296"/>
      <c r="F235" s="1294"/>
      <c r="G235" s="1299"/>
      <c r="H235" s="248" t="s">
        <v>58</v>
      </c>
      <c r="I235" s="523">
        <v>35.1</v>
      </c>
      <c r="J235" s="523">
        <v>10.3</v>
      </c>
      <c r="K235" s="523"/>
      <c r="L235" s="88"/>
      <c r="M235" s="194"/>
      <c r="N235" s="154"/>
      <c r="O235" s="383"/>
      <c r="P235" s="147"/>
      <c r="Q235" s="187"/>
    </row>
    <row r="236" spans="1:20" ht="12.75" customHeight="1" x14ac:dyDescent="0.2">
      <c r="A236" s="1683"/>
      <c r="B236" s="1684"/>
      <c r="C236" s="1866"/>
      <c r="D236" s="1862"/>
      <c r="E236" s="1870" t="s">
        <v>190</v>
      </c>
      <c r="F236" s="1840"/>
      <c r="G236" s="1842" t="s">
        <v>430</v>
      </c>
      <c r="H236" s="997" t="s">
        <v>24</v>
      </c>
      <c r="I236" s="1019">
        <f>22.7+2.2</f>
        <v>24.9</v>
      </c>
      <c r="J236" s="1019"/>
      <c r="K236" s="998"/>
      <c r="L236" s="998"/>
      <c r="M236" s="1134" t="s">
        <v>234</v>
      </c>
      <c r="N236" s="1010">
        <v>1</v>
      </c>
      <c r="O236" s="1040"/>
      <c r="P236" s="145"/>
      <c r="Q236" s="223"/>
      <c r="R236" s="8"/>
    </row>
    <row r="237" spans="1:20" ht="15.75" customHeight="1" x14ac:dyDescent="0.2">
      <c r="A237" s="1683"/>
      <c r="B237" s="1684"/>
      <c r="C237" s="1866"/>
      <c r="D237" s="1862"/>
      <c r="E237" s="1870"/>
      <c r="F237" s="1840"/>
      <c r="G237" s="1842"/>
      <c r="H237" s="997"/>
      <c r="I237" s="1019"/>
      <c r="J237" s="1019"/>
      <c r="K237" s="998"/>
      <c r="L237" s="998"/>
      <c r="M237" s="1134" t="s">
        <v>235</v>
      </c>
      <c r="N237" s="1010">
        <v>1</v>
      </c>
      <c r="O237" s="1040"/>
      <c r="P237" s="145"/>
      <c r="Q237" s="223"/>
      <c r="R237" s="1132"/>
    </row>
    <row r="238" spans="1:20" ht="29.25" customHeight="1" x14ac:dyDescent="0.2">
      <c r="A238" s="1683"/>
      <c r="B238" s="1684"/>
      <c r="C238" s="1866"/>
      <c r="D238" s="1869"/>
      <c r="E238" s="1871"/>
      <c r="F238" s="1841"/>
      <c r="G238" s="1843"/>
      <c r="H238" s="1001"/>
      <c r="I238" s="1041"/>
      <c r="J238" s="1041"/>
      <c r="K238" s="1002"/>
      <c r="L238" s="1002"/>
      <c r="M238" s="1004"/>
      <c r="N238" s="1042"/>
      <c r="O238" s="1043"/>
      <c r="P238" s="147"/>
      <c r="Q238" s="187"/>
      <c r="R238" s="1132"/>
    </row>
    <row r="239" spans="1:20" ht="15.75" customHeight="1" thickBot="1" x14ac:dyDescent="0.25">
      <c r="A239" s="26"/>
      <c r="B239" s="928"/>
      <c r="C239" s="267"/>
      <c r="D239" s="270"/>
      <c r="E239" s="277"/>
      <c r="F239" s="276"/>
      <c r="G239" s="269"/>
      <c r="H239" s="22" t="s">
        <v>6</v>
      </c>
      <c r="I239" s="155">
        <f>SUM(I215:I238)</f>
        <v>3140.4</v>
      </c>
      <c r="J239" s="155">
        <f>SUM(J215:J238)</f>
        <v>2912</v>
      </c>
      <c r="K239" s="155">
        <f>SUM(K215:K238)</f>
        <v>4399.8999999999996</v>
      </c>
      <c r="L239" s="155">
        <f>SUM(L215:L238)</f>
        <v>3762.2</v>
      </c>
      <c r="M239" s="268"/>
      <c r="N239" s="280"/>
      <c r="O239" s="280"/>
      <c r="P239" s="274"/>
      <c r="Q239" s="494"/>
      <c r="R239" s="8"/>
    </row>
    <row r="240" spans="1:20" ht="33" customHeight="1" x14ac:dyDescent="0.2">
      <c r="A240" s="29" t="s">
        <v>5</v>
      </c>
      <c r="B240" s="200" t="s">
        <v>26</v>
      </c>
      <c r="C240" s="275" t="s">
        <v>7</v>
      </c>
      <c r="D240" s="201"/>
      <c r="E240" s="680" t="s">
        <v>147</v>
      </c>
      <c r="F240" s="99"/>
      <c r="G240" s="1909" t="s">
        <v>73</v>
      </c>
      <c r="H240" s="159" t="s">
        <v>24</v>
      </c>
      <c r="I240" s="111"/>
      <c r="J240" s="106"/>
      <c r="K240" s="106"/>
      <c r="L240" s="106"/>
      <c r="M240" s="926"/>
      <c r="N240" s="202"/>
      <c r="O240" s="441"/>
      <c r="P240" s="910"/>
      <c r="Q240" s="444"/>
    </row>
    <row r="241" spans="1:17" ht="53.25" customHeight="1" x14ac:dyDescent="0.2">
      <c r="A241" s="238"/>
      <c r="B241" s="233"/>
      <c r="C241" s="940"/>
      <c r="D241" s="563" t="s">
        <v>5</v>
      </c>
      <c r="E241" s="247" t="s">
        <v>305</v>
      </c>
      <c r="F241" s="564"/>
      <c r="G241" s="1827"/>
      <c r="H241" s="522" t="s">
        <v>24</v>
      </c>
      <c r="I241" s="141">
        <v>4</v>
      </c>
      <c r="J241" s="90">
        <v>4</v>
      </c>
      <c r="K241" s="90">
        <v>4</v>
      </c>
      <c r="L241" s="90"/>
      <c r="M241" s="351" t="s">
        <v>139</v>
      </c>
      <c r="N241" s="565"/>
      <c r="O241" s="442"/>
      <c r="P241" s="732">
        <v>1</v>
      </c>
      <c r="Q241" s="566"/>
    </row>
    <row r="242" spans="1:17" ht="53.25" customHeight="1" x14ac:dyDescent="0.2">
      <c r="A242" s="238"/>
      <c r="B242" s="233"/>
      <c r="C242" s="940"/>
      <c r="D242" s="929" t="s">
        <v>7</v>
      </c>
      <c r="E242" s="1051" t="s">
        <v>306</v>
      </c>
      <c r="F242" s="101"/>
      <c r="G242" s="936"/>
      <c r="H242" s="935" t="s">
        <v>24</v>
      </c>
      <c r="I242" s="675">
        <v>3.6</v>
      </c>
      <c r="J242" s="226">
        <v>4</v>
      </c>
      <c r="K242" s="226">
        <v>4</v>
      </c>
      <c r="L242" s="226">
        <v>4</v>
      </c>
      <c r="M242" s="913" t="s">
        <v>139</v>
      </c>
      <c r="N242" s="1067">
        <v>1</v>
      </c>
      <c r="O242" s="443"/>
      <c r="P242" s="145"/>
      <c r="Q242" s="426">
        <v>1</v>
      </c>
    </row>
    <row r="243" spans="1:17" ht="43.5" customHeight="1" x14ac:dyDescent="0.2">
      <c r="A243" s="238"/>
      <c r="B243" s="233"/>
      <c r="C243" s="940"/>
      <c r="D243" s="563" t="s">
        <v>26</v>
      </c>
      <c r="E243" s="247" t="s">
        <v>242</v>
      </c>
      <c r="F243" s="564"/>
      <c r="G243" s="936"/>
      <c r="H243" s="522" t="s">
        <v>24</v>
      </c>
      <c r="I243" s="141">
        <v>3.2</v>
      </c>
      <c r="J243" s="90">
        <v>3.2</v>
      </c>
      <c r="K243" s="90">
        <v>3.2</v>
      </c>
      <c r="L243" s="90"/>
      <c r="M243" s="351" t="s">
        <v>139</v>
      </c>
      <c r="N243" s="565"/>
      <c r="O243" s="442"/>
      <c r="P243" s="732">
        <v>1</v>
      </c>
      <c r="Q243" s="566"/>
    </row>
    <row r="244" spans="1:17" ht="52.5" customHeight="1" x14ac:dyDescent="0.2">
      <c r="A244" s="238"/>
      <c r="B244" s="233"/>
      <c r="C244" s="940"/>
      <c r="D244" s="563" t="s">
        <v>34</v>
      </c>
      <c r="E244" s="247" t="s">
        <v>161</v>
      </c>
      <c r="F244" s="564"/>
      <c r="G244" s="936"/>
      <c r="H244" s="1077" t="s">
        <v>24</v>
      </c>
      <c r="I244" s="90">
        <v>4</v>
      </c>
      <c r="J244" s="736">
        <v>4</v>
      </c>
      <c r="K244" s="90">
        <v>4</v>
      </c>
      <c r="L244" s="90"/>
      <c r="M244" s="1081" t="s">
        <v>139</v>
      </c>
      <c r="N244" s="565"/>
      <c r="O244" s="442"/>
      <c r="P244" s="732">
        <v>1</v>
      </c>
      <c r="Q244" s="566"/>
    </row>
    <row r="245" spans="1:17" ht="52.5" customHeight="1" x14ac:dyDescent="0.2">
      <c r="A245" s="238"/>
      <c r="B245" s="233"/>
      <c r="C245" s="940"/>
      <c r="D245" s="563" t="s">
        <v>35</v>
      </c>
      <c r="E245" s="1052" t="s">
        <v>333</v>
      </c>
      <c r="F245" s="507"/>
      <c r="G245" s="1055"/>
      <c r="H245" s="365" t="s">
        <v>24</v>
      </c>
      <c r="I245" s="88"/>
      <c r="J245" s="85">
        <v>25</v>
      </c>
      <c r="K245" s="88">
        <v>25</v>
      </c>
      <c r="L245" s="88"/>
      <c r="M245" s="1081" t="s">
        <v>139</v>
      </c>
      <c r="N245" s="554">
        <v>1</v>
      </c>
      <c r="O245" s="419"/>
      <c r="P245" s="911">
        <v>1</v>
      </c>
      <c r="Q245" s="59"/>
    </row>
    <row r="246" spans="1:17" ht="54" customHeight="1" x14ac:dyDescent="0.2">
      <c r="A246" s="238"/>
      <c r="B246" s="233"/>
      <c r="C246" s="1054"/>
      <c r="D246" s="1056" t="s">
        <v>28</v>
      </c>
      <c r="E246" s="1066" t="s">
        <v>379</v>
      </c>
      <c r="F246" s="1064"/>
      <c r="G246" s="1055"/>
      <c r="H246" s="1078" t="s">
        <v>24</v>
      </c>
      <c r="I246" s="1084"/>
      <c r="J246" s="1080">
        <v>50</v>
      </c>
      <c r="K246" s="1084"/>
      <c r="L246" s="1084"/>
      <c r="M246" s="1075" t="s">
        <v>139</v>
      </c>
      <c r="N246" s="565"/>
      <c r="O246" s="565">
        <v>1</v>
      </c>
      <c r="P246" s="565"/>
      <c r="Q246" s="1065"/>
    </row>
    <row r="247" spans="1:17" ht="66.75" customHeight="1" x14ac:dyDescent="0.2">
      <c r="A247" s="238"/>
      <c r="B247" s="233"/>
      <c r="C247" s="1054"/>
      <c r="D247" s="1053" t="s">
        <v>36</v>
      </c>
      <c r="E247" s="1074" t="s">
        <v>377</v>
      </c>
      <c r="F247" s="1064"/>
      <c r="G247" s="1055"/>
      <c r="H247" s="1078" t="s">
        <v>24</v>
      </c>
      <c r="I247" s="1083"/>
      <c r="J247" s="1080">
        <v>4</v>
      </c>
      <c r="K247" s="1083">
        <v>4</v>
      </c>
      <c r="L247" s="1083">
        <v>4</v>
      </c>
      <c r="M247" s="1081" t="s">
        <v>139</v>
      </c>
      <c r="N247" s="1181"/>
      <c r="O247" s="1181"/>
      <c r="P247" s="1181"/>
      <c r="Q247" s="1062">
        <v>1</v>
      </c>
    </row>
    <row r="248" spans="1:17" ht="56.25" customHeight="1" x14ac:dyDescent="0.2">
      <c r="A248" s="238"/>
      <c r="B248" s="233"/>
      <c r="C248" s="1171"/>
      <c r="D248" s="563" t="s">
        <v>29</v>
      </c>
      <c r="E248" s="1066" t="s">
        <v>376</v>
      </c>
      <c r="F248" s="1061"/>
      <c r="G248" s="1172"/>
      <c r="H248" s="1078" t="s">
        <v>24</v>
      </c>
      <c r="I248" s="1083"/>
      <c r="J248" s="1080"/>
      <c r="K248" s="1083">
        <v>7.5</v>
      </c>
      <c r="L248" s="1083"/>
      <c r="M248" s="1081" t="s">
        <v>139</v>
      </c>
      <c r="N248" s="1181"/>
      <c r="O248" s="1181"/>
      <c r="P248" s="1181">
        <v>1</v>
      </c>
      <c r="Q248" s="1063"/>
    </row>
    <row r="249" spans="1:17" ht="53.25" customHeight="1" x14ac:dyDescent="0.2">
      <c r="A249" s="238"/>
      <c r="B249" s="233"/>
      <c r="C249" s="1171"/>
      <c r="D249" s="563" t="s">
        <v>63</v>
      </c>
      <c r="E249" s="247" t="s">
        <v>254</v>
      </c>
      <c r="F249" s="564"/>
      <c r="G249" s="1172"/>
      <c r="H249" s="522" t="s">
        <v>24</v>
      </c>
      <c r="I249" s="141">
        <v>3</v>
      </c>
      <c r="J249" s="90"/>
      <c r="K249" s="90">
        <v>4</v>
      </c>
      <c r="L249" s="90"/>
      <c r="M249" s="351" t="s">
        <v>139</v>
      </c>
      <c r="N249" s="1182">
        <v>1</v>
      </c>
      <c r="O249" s="1183"/>
      <c r="P249" s="1184">
        <v>1</v>
      </c>
      <c r="Q249" s="566"/>
    </row>
    <row r="250" spans="1:17" ht="53.25" customHeight="1" x14ac:dyDescent="0.2">
      <c r="A250" s="238"/>
      <c r="B250" s="233"/>
      <c r="C250" s="1177"/>
      <c r="D250" s="563"/>
      <c r="E250" s="1179" t="s">
        <v>403</v>
      </c>
      <c r="F250" s="507"/>
      <c r="G250" s="1178"/>
      <c r="H250" s="365" t="s">
        <v>24</v>
      </c>
      <c r="I250" s="523">
        <v>17.5</v>
      </c>
      <c r="J250" s="88"/>
      <c r="K250" s="88"/>
      <c r="L250" s="88"/>
      <c r="M250" s="1081"/>
      <c r="N250" s="1042"/>
      <c r="O250" s="383"/>
      <c r="P250" s="147"/>
      <c r="Q250" s="59"/>
    </row>
    <row r="251" spans="1:17" ht="52.5" customHeight="1" x14ac:dyDescent="0.2">
      <c r="A251" s="238"/>
      <c r="B251" s="233"/>
      <c r="C251" s="940"/>
      <c r="D251" s="563"/>
      <c r="E251" s="1068" t="s">
        <v>318</v>
      </c>
      <c r="F251" s="1069"/>
      <c r="G251" s="1076"/>
      <c r="H251" s="1079" t="s">
        <v>24</v>
      </c>
      <c r="I251" s="1041">
        <v>3</v>
      </c>
      <c r="J251" s="1002"/>
      <c r="K251" s="1002"/>
      <c r="L251" s="1002"/>
      <c r="M251" s="1082" t="s">
        <v>139</v>
      </c>
      <c r="N251" s="1071">
        <v>1</v>
      </c>
      <c r="O251" s="1072"/>
      <c r="P251" s="1073"/>
      <c r="Q251" s="59"/>
    </row>
    <row r="252" spans="1:17" ht="52.5" customHeight="1" x14ac:dyDescent="0.2">
      <c r="A252" s="238"/>
      <c r="B252" s="233"/>
      <c r="C252" s="974"/>
      <c r="D252" s="972"/>
      <c r="E252" s="1068" t="s">
        <v>378</v>
      </c>
      <c r="F252" s="1069"/>
      <c r="G252" s="1070"/>
      <c r="H252" s="1001" t="s">
        <v>24</v>
      </c>
      <c r="I252" s="1041">
        <v>11.3</v>
      </c>
      <c r="J252" s="1041"/>
      <c r="K252" s="1002"/>
      <c r="L252" s="1002"/>
      <c r="M252" s="1082" t="s">
        <v>139</v>
      </c>
      <c r="N252" s="1071">
        <v>1</v>
      </c>
      <c r="O252" s="1072"/>
      <c r="P252" s="911"/>
      <c r="Q252" s="59"/>
    </row>
    <row r="253" spans="1:17" ht="16.5" customHeight="1" thickBot="1" x14ac:dyDescent="0.25">
      <c r="A253" s="927"/>
      <c r="B253" s="234"/>
      <c r="C253" s="267"/>
      <c r="D253" s="270"/>
      <c r="E253" s="277"/>
      <c r="F253" s="276"/>
      <c r="G253" s="269"/>
      <c r="H253" s="22" t="s">
        <v>6</v>
      </c>
      <c r="I253" s="155">
        <f>SUM(I241:I252)</f>
        <v>49.6</v>
      </c>
      <c r="J253" s="155">
        <f t="shared" ref="J253:L253" si="5">SUM(J241:J252)</f>
        <v>94.2</v>
      </c>
      <c r="K253" s="155">
        <f t="shared" si="5"/>
        <v>55.7</v>
      </c>
      <c r="L253" s="155">
        <f t="shared" si="5"/>
        <v>8</v>
      </c>
      <c r="M253" s="268"/>
      <c r="N253" s="280"/>
      <c r="O253" s="280"/>
      <c r="P253" s="274"/>
      <c r="Q253" s="494"/>
    </row>
    <row r="254" spans="1:17" ht="16.5" customHeight="1" thickBot="1" x14ac:dyDescent="0.25">
      <c r="A254" s="27" t="s">
        <v>5</v>
      </c>
      <c r="B254" s="6" t="s">
        <v>26</v>
      </c>
      <c r="C254" s="1649" t="s">
        <v>8</v>
      </c>
      <c r="D254" s="1650"/>
      <c r="E254" s="1650"/>
      <c r="F254" s="1650"/>
      <c r="G254" s="1650"/>
      <c r="H254" s="1651"/>
      <c r="I254" s="92">
        <f>I253+I239</f>
        <v>3190</v>
      </c>
      <c r="J254" s="92">
        <f t="shared" ref="J254:L254" si="6">J253+J239</f>
        <v>3006.2</v>
      </c>
      <c r="K254" s="92">
        <f t="shared" si="6"/>
        <v>4455.6000000000004</v>
      </c>
      <c r="L254" s="92">
        <f t="shared" si="6"/>
        <v>3770.2</v>
      </c>
      <c r="M254" s="232"/>
      <c r="N254" s="232"/>
      <c r="O254" s="232"/>
      <c r="P254" s="232"/>
      <c r="Q254" s="197"/>
    </row>
    <row r="255" spans="1:17" ht="15.75" customHeight="1" thickBot="1" x14ac:dyDescent="0.25">
      <c r="A255" s="27" t="s">
        <v>5</v>
      </c>
      <c r="B255" s="6" t="s">
        <v>34</v>
      </c>
      <c r="C255" s="1663" t="s">
        <v>43</v>
      </c>
      <c r="D255" s="1664"/>
      <c r="E255" s="1664"/>
      <c r="F255" s="1664"/>
      <c r="G255" s="1664"/>
      <c r="H255" s="1664"/>
      <c r="I255" s="930"/>
      <c r="J255" s="930"/>
      <c r="K255" s="930"/>
      <c r="L255" s="930"/>
      <c r="M255" s="912"/>
      <c r="N255" s="235"/>
      <c r="O255" s="235"/>
      <c r="P255" s="235"/>
      <c r="Q255" s="199"/>
    </row>
    <row r="256" spans="1:17" ht="12.75" customHeight="1" x14ac:dyDescent="0.2">
      <c r="A256" s="29" t="s">
        <v>5</v>
      </c>
      <c r="B256" s="200" t="s">
        <v>34</v>
      </c>
      <c r="C256" s="275" t="s">
        <v>5</v>
      </c>
      <c r="D256" s="201"/>
      <c r="E256" s="1665" t="s">
        <v>417</v>
      </c>
      <c r="F256" s="99"/>
      <c r="G256" s="1238"/>
      <c r="H256" s="159"/>
      <c r="I256" s="111"/>
      <c r="J256" s="106"/>
      <c r="K256" s="106"/>
      <c r="L256" s="106"/>
      <c r="M256" s="1223"/>
      <c r="N256" s="445"/>
      <c r="O256" s="1239"/>
      <c r="P256" s="445"/>
      <c r="Q256" s="221"/>
    </row>
    <row r="257" spans="1:19" ht="12.75" customHeight="1" x14ac:dyDescent="0.2">
      <c r="A257" s="1234"/>
      <c r="B257" s="233"/>
      <c r="C257" s="1235"/>
      <c r="D257" s="337"/>
      <c r="E257" s="1666"/>
      <c r="F257" s="1236"/>
      <c r="G257" s="1237"/>
      <c r="H257" s="366"/>
      <c r="I257" s="675"/>
      <c r="J257" s="226"/>
      <c r="K257" s="226"/>
      <c r="L257" s="226"/>
      <c r="M257" s="1218"/>
      <c r="N257" s="145"/>
      <c r="O257" s="154"/>
      <c r="P257" s="145"/>
      <c r="Q257" s="223"/>
    </row>
    <row r="258" spans="1:19" s="47" customFormat="1" ht="19.5" customHeight="1" x14ac:dyDescent="0.2">
      <c r="A258" s="1667"/>
      <c r="B258" s="1669"/>
      <c r="C258" s="1867"/>
      <c r="D258" s="1233" t="s">
        <v>5</v>
      </c>
      <c r="E258" s="1673" t="s">
        <v>175</v>
      </c>
      <c r="F258" s="1676" t="s">
        <v>47</v>
      </c>
      <c r="G258" s="1844" t="s">
        <v>429</v>
      </c>
      <c r="H258" s="1087" t="s">
        <v>24</v>
      </c>
      <c r="I258" s="1088">
        <f>100-78.1</f>
        <v>21.9</v>
      </c>
      <c r="J258" s="1088">
        <v>200</v>
      </c>
      <c r="K258" s="1088">
        <v>200</v>
      </c>
      <c r="L258" s="1088">
        <v>200</v>
      </c>
      <c r="M258" s="1089" t="s">
        <v>174</v>
      </c>
      <c r="N258" s="605" t="s">
        <v>351</v>
      </c>
      <c r="O258" s="1090">
        <v>550</v>
      </c>
      <c r="P258" s="1090">
        <v>550</v>
      </c>
      <c r="Q258" s="1091">
        <v>550</v>
      </c>
    </row>
    <row r="259" spans="1:19" s="47" customFormat="1" ht="15" customHeight="1" x14ac:dyDescent="0.2">
      <c r="A259" s="1668"/>
      <c r="B259" s="1670"/>
      <c r="C259" s="1868"/>
      <c r="D259" s="1242"/>
      <c r="E259" s="1674"/>
      <c r="F259" s="1677"/>
      <c r="G259" s="1826"/>
      <c r="H259" s="571" t="s">
        <v>58</v>
      </c>
      <c r="I259" s="572">
        <v>100</v>
      </c>
      <c r="J259" s="572">
        <v>149.80000000000001</v>
      </c>
      <c r="K259" s="572"/>
      <c r="L259" s="572"/>
      <c r="M259" s="573" t="s">
        <v>174</v>
      </c>
      <c r="N259" s="574"/>
      <c r="O259" s="574">
        <f>260+377</f>
        <v>637</v>
      </c>
      <c r="P259" s="574"/>
      <c r="Q259" s="425"/>
    </row>
    <row r="260" spans="1:19" s="47" customFormat="1" ht="18" customHeight="1" x14ac:dyDescent="0.2">
      <c r="A260" s="1668"/>
      <c r="B260" s="1670"/>
      <c r="C260" s="1868"/>
      <c r="D260" s="1243"/>
      <c r="E260" s="1675"/>
      <c r="F260" s="1678"/>
      <c r="G260" s="1865"/>
      <c r="H260" s="352" t="s">
        <v>58</v>
      </c>
      <c r="I260" s="353">
        <v>123.9</v>
      </c>
      <c r="J260" s="353"/>
      <c r="K260" s="353"/>
      <c r="L260" s="353"/>
      <c r="M260" s="1092"/>
      <c r="N260" s="1093"/>
      <c r="O260" s="1093"/>
      <c r="P260" s="1093"/>
      <c r="Q260" s="1094"/>
    </row>
    <row r="261" spans="1:19" ht="17.25" customHeight="1" x14ac:dyDescent="0.2">
      <c r="A261" s="1057"/>
      <c r="B261" s="1058"/>
      <c r="C261" s="272"/>
      <c r="D261" s="1228" t="s">
        <v>7</v>
      </c>
      <c r="E261" s="1661" t="s">
        <v>380</v>
      </c>
      <c r="F261" s="1085"/>
      <c r="G261" s="1844" t="s">
        <v>428</v>
      </c>
      <c r="H261" s="575" t="s">
        <v>24</v>
      </c>
      <c r="I261" s="226"/>
      <c r="J261" s="572">
        <v>20</v>
      </c>
      <c r="K261" s="572">
        <v>20</v>
      </c>
      <c r="L261" s="572">
        <v>20</v>
      </c>
      <c r="M261" s="1689" t="s">
        <v>374</v>
      </c>
      <c r="N261" s="574"/>
      <c r="O261" s="574">
        <v>20</v>
      </c>
      <c r="P261" s="574">
        <v>20</v>
      </c>
      <c r="Q261" s="425">
        <v>20</v>
      </c>
    </row>
    <row r="262" spans="1:19" ht="37.5" customHeight="1" x14ac:dyDescent="0.2">
      <c r="A262" s="25"/>
      <c r="B262" s="1058"/>
      <c r="C262" s="273"/>
      <c r="D262" s="1230"/>
      <c r="E262" s="1662"/>
      <c r="F262" s="507"/>
      <c r="G262" s="1865"/>
      <c r="H262" s="248"/>
      <c r="I262" s="88"/>
      <c r="J262" s="353"/>
      <c r="K262" s="353"/>
      <c r="L262" s="353"/>
      <c r="M262" s="1689"/>
      <c r="N262" s="574"/>
      <c r="O262" s="574"/>
      <c r="P262" s="574"/>
      <c r="Q262" s="425"/>
    </row>
    <row r="263" spans="1:19" ht="12.75" customHeight="1" x14ac:dyDescent="0.2">
      <c r="A263" s="915"/>
      <c r="B263" s="917"/>
      <c r="C263" s="272"/>
      <c r="D263" s="1231" t="s">
        <v>26</v>
      </c>
      <c r="E263" s="1686" t="s">
        <v>118</v>
      </c>
      <c r="F263" s="101"/>
      <c r="G263" s="1826" t="s">
        <v>427</v>
      </c>
      <c r="H263" s="366" t="s">
        <v>24</v>
      </c>
      <c r="I263" s="87"/>
      <c r="J263" s="132"/>
      <c r="K263" s="132"/>
      <c r="L263" s="132"/>
      <c r="M263" s="1060" t="s">
        <v>87</v>
      </c>
      <c r="N263" s="605" t="s">
        <v>50</v>
      </c>
      <c r="O263" s="146">
        <v>1</v>
      </c>
      <c r="P263" s="146"/>
      <c r="Q263" s="175"/>
    </row>
    <row r="264" spans="1:19" ht="18" customHeight="1" x14ac:dyDescent="0.2">
      <c r="A264" s="25"/>
      <c r="B264" s="917"/>
      <c r="C264" s="273"/>
      <c r="D264" s="1232"/>
      <c r="E264" s="1686"/>
      <c r="F264" s="101"/>
      <c r="G264" s="1865"/>
      <c r="H264" s="365" t="s">
        <v>58</v>
      </c>
      <c r="I264" s="88">
        <v>46.8</v>
      </c>
      <c r="J264" s="88">
        <v>26</v>
      </c>
      <c r="K264" s="88"/>
      <c r="L264" s="88"/>
      <c r="M264" s="194"/>
      <c r="N264" s="1086"/>
      <c r="O264" s="147"/>
      <c r="P264" s="147"/>
      <c r="Q264" s="187"/>
    </row>
    <row r="265" spans="1:19" ht="17.25" customHeight="1" x14ac:dyDescent="0.2">
      <c r="A265" s="915"/>
      <c r="B265" s="917"/>
      <c r="C265" s="272"/>
      <c r="D265" s="1228" t="s">
        <v>34</v>
      </c>
      <c r="E265" s="1661" t="s">
        <v>307</v>
      </c>
      <c r="F265" s="1085"/>
      <c r="G265" s="1844" t="s">
        <v>426</v>
      </c>
      <c r="H265" s="366" t="s">
        <v>24</v>
      </c>
      <c r="I265" s="226">
        <v>20</v>
      </c>
      <c r="J265" s="569"/>
      <c r="K265" s="569"/>
      <c r="L265" s="1116"/>
      <c r="M265" s="1554" t="s">
        <v>205</v>
      </c>
      <c r="N265" s="222" t="s">
        <v>206</v>
      </c>
      <c r="O265" s="145">
        <v>60</v>
      </c>
      <c r="P265" s="145"/>
      <c r="Q265" s="223"/>
    </row>
    <row r="266" spans="1:19" ht="37.5" customHeight="1" x14ac:dyDescent="0.2">
      <c r="A266" s="25"/>
      <c r="B266" s="917"/>
      <c r="C266" s="273"/>
      <c r="D266" s="1230"/>
      <c r="E266" s="1662"/>
      <c r="F266" s="1555"/>
      <c r="G266" s="1865"/>
      <c r="H266" s="365" t="s">
        <v>58</v>
      </c>
      <c r="I266" s="88"/>
      <c r="J266" s="88">
        <v>2.2000000000000002</v>
      </c>
      <c r="K266" s="1002"/>
      <c r="L266" s="1002"/>
      <c r="M266" s="194"/>
      <c r="N266" s="1086"/>
      <c r="O266" s="147"/>
      <c r="P266" s="147"/>
      <c r="Q266" s="187"/>
    </row>
    <row r="267" spans="1:19" ht="16.5" customHeight="1" thickBot="1" x14ac:dyDescent="0.25">
      <c r="A267" s="1059"/>
      <c r="B267" s="234"/>
      <c r="C267" s="267"/>
      <c r="D267" s="270"/>
      <c r="E267" s="277"/>
      <c r="F267" s="276"/>
      <c r="G267" s="269"/>
      <c r="H267" s="22" t="s">
        <v>6</v>
      </c>
      <c r="I267" s="155">
        <f>SUM(I258:I266)</f>
        <v>312.60000000000002</v>
      </c>
      <c r="J267" s="155">
        <f t="shared" ref="J267:L267" si="7">SUM(J258:J266)</f>
        <v>398</v>
      </c>
      <c r="K267" s="155">
        <f t="shared" si="7"/>
        <v>220</v>
      </c>
      <c r="L267" s="155">
        <f t="shared" si="7"/>
        <v>220</v>
      </c>
      <c r="M267" s="268"/>
      <c r="N267" s="280"/>
      <c r="O267" s="280"/>
      <c r="P267" s="274"/>
      <c r="Q267" s="494"/>
    </row>
    <row r="268" spans="1:19" ht="13.5" thickBot="1" x14ac:dyDescent="0.25">
      <c r="A268" s="927" t="s">
        <v>5</v>
      </c>
      <c r="B268" s="234" t="s">
        <v>34</v>
      </c>
      <c r="C268" s="1872" t="s">
        <v>8</v>
      </c>
      <c r="D268" s="1873"/>
      <c r="E268" s="1873"/>
      <c r="F268" s="1873"/>
      <c r="G268" s="1873"/>
      <c r="H268" s="1873"/>
      <c r="I268" s="92">
        <f>I267</f>
        <v>312.60000000000002</v>
      </c>
      <c r="J268" s="92">
        <f t="shared" ref="J268:L268" si="8">J267</f>
        <v>398</v>
      </c>
      <c r="K268" s="92">
        <f t="shared" si="8"/>
        <v>220</v>
      </c>
      <c r="L268" s="92">
        <f t="shared" si="8"/>
        <v>220</v>
      </c>
      <c r="M268" s="232"/>
      <c r="N268" s="232"/>
      <c r="O268" s="232"/>
      <c r="P268" s="232"/>
      <c r="Q268" s="197"/>
    </row>
    <row r="269" spans="1:19" ht="14.25" customHeight="1" thickBot="1" x14ac:dyDescent="0.25">
      <c r="A269" s="28" t="s">
        <v>5</v>
      </c>
      <c r="B269" s="1652" t="s">
        <v>9</v>
      </c>
      <c r="C269" s="1653"/>
      <c r="D269" s="1653"/>
      <c r="E269" s="1653"/>
      <c r="F269" s="1653"/>
      <c r="G269" s="1653"/>
      <c r="H269" s="1653"/>
      <c r="I269" s="265">
        <f>I268+I254+I212+I193</f>
        <v>12709.7</v>
      </c>
      <c r="J269" s="265">
        <f>J268+J254+J212+J193</f>
        <v>18155.900000000001</v>
      </c>
      <c r="K269" s="265">
        <f>K268+K254+K212+K193</f>
        <v>24333.1</v>
      </c>
      <c r="L269" s="265">
        <f>L268+L254+L212+L193</f>
        <v>24859.599999999999</v>
      </c>
      <c r="M269" s="1654"/>
      <c r="N269" s="1655"/>
      <c r="O269" s="1655"/>
      <c r="P269" s="1655"/>
      <c r="Q269" s="1656"/>
    </row>
    <row r="270" spans="1:19" ht="14.25" customHeight="1" thickBot="1" x14ac:dyDescent="0.25">
      <c r="A270" s="20" t="s">
        <v>36</v>
      </c>
      <c r="B270" s="1657" t="s">
        <v>56</v>
      </c>
      <c r="C270" s="1658"/>
      <c r="D270" s="1658"/>
      <c r="E270" s="1658"/>
      <c r="F270" s="1658"/>
      <c r="G270" s="1658"/>
      <c r="H270" s="1658"/>
      <c r="I270" s="96">
        <f t="shared" ref="I270:L270" si="9">SUM(I269)</f>
        <v>12709.7</v>
      </c>
      <c r="J270" s="266">
        <f t="shared" ref="J270:K270" si="10">SUM(J269)</f>
        <v>18155.900000000001</v>
      </c>
      <c r="K270" s="266">
        <f t="shared" si="10"/>
        <v>24333.1</v>
      </c>
      <c r="L270" s="266">
        <f t="shared" si="9"/>
        <v>24859.599999999999</v>
      </c>
      <c r="M270" s="1659"/>
      <c r="N270" s="1659"/>
      <c r="O270" s="1659"/>
      <c r="P270" s="1659"/>
      <c r="Q270" s="1660"/>
      <c r="R270" s="8"/>
      <c r="S270" s="8"/>
    </row>
    <row r="271" spans="1:19" s="9" customFormat="1" ht="16.5" customHeight="1" x14ac:dyDescent="0.2">
      <c r="A271" s="1635" t="s">
        <v>496</v>
      </c>
      <c r="B271" s="1635"/>
      <c r="C271" s="1635"/>
      <c r="D271" s="1635"/>
      <c r="E271" s="1635"/>
      <c r="F271" s="1635"/>
      <c r="G271" s="1635"/>
      <c r="H271" s="1635"/>
      <c r="I271" s="1635"/>
      <c r="J271" s="1635"/>
      <c r="K271" s="1635"/>
      <c r="L271" s="1635"/>
      <c r="M271" s="1635"/>
      <c r="N271" s="521"/>
      <c r="O271" s="521"/>
      <c r="P271" s="521"/>
      <c r="Q271" s="521"/>
    </row>
    <row r="272" spans="1:19" s="9" customFormat="1" ht="17.25" customHeight="1" x14ac:dyDescent="0.2">
      <c r="A272" s="521"/>
      <c r="B272" s="781"/>
      <c r="C272" s="781"/>
      <c r="D272" s="781"/>
      <c r="E272" s="781"/>
      <c r="F272" s="781"/>
      <c r="G272" s="781"/>
      <c r="H272" s="781"/>
      <c r="I272" s="781"/>
      <c r="J272" s="781"/>
      <c r="K272" s="781"/>
      <c r="L272" s="781"/>
      <c r="M272" s="781"/>
      <c r="N272" s="521"/>
      <c r="O272" s="521"/>
      <c r="P272" s="521"/>
      <c r="Q272" s="521"/>
    </row>
    <row r="273" spans="1:19" s="10" customFormat="1" ht="14.25" customHeight="1" thickBot="1" x14ac:dyDescent="0.25">
      <c r="A273" s="1636" t="s">
        <v>13</v>
      </c>
      <c r="B273" s="1636"/>
      <c r="C273" s="1636"/>
      <c r="D273" s="1636"/>
      <c r="E273" s="1636"/>
      <c r="F273" s="1636"/>
      <c r="G273" s="1636"/>
      <c r="H273" s="1636"/>
      <c r="I273" s="931"/>
      <c r="J273" s="931"/>
      <c r="K273" s="931"/>
      <c r="L273" s="931"/>
      <c r="M273" s="17"/>
      <c r="N273" s="17"/>
      <c r="O273" s="17"/>
      <c r="P273" s="17"/>
      <c r="Q273" s="17"/>
      <c r="R273" s="9"/>
      <c r="S273" s="9"/>
    </row>
    <row r="274" spans="1:19" ht="57" customHeight="1" thickBot="1" x14ac:dyDescent="0.25">
      <c r="A274" s="1637" t="s">
        <v>10</v>
      </c>
      <c r="B274" s="1638"/>
      <c r="C274" s="1638"/>
      <c r="D274" s="1638"/>
      <c r="E274" s="1638"/>
      <c r="F274" s="1638"/>
      <c r="G274" s="1638"/>
      <c r="H274" s="1639"/>
      <c r="I274" s="1302" t="s">
        <v>203</v>
      </c>
      <c r="J274" s="1302" t="s">
        <v>325</v>
      </c>
      <c r="K274" s="1303" t="s">
        <v>198</v>
      </c>
      <c r="L274" s="1303" t="s">
        <v>326</v>
      </c>
      <c r="M274" s="2"/>
      <c r="N274" s="2"/>
      <c r="O274" s="2"/>
      <c r="P274" s="2"/>
      <c r="Q274" s="2"/>
      <c r="R274" s="8"/>
      <c r="S274" s="8"/>
    </row>
    <row r="275" spans="1:19" ht="14.25" customHeight="1" x14ac:dyDescent="0.2">
      <c r="A275" s="1640" t="s">
        <v>14</v>
      </c>
      <c r="B275" s="1641"/>
      <c r="C275" s="1641"/>
      <c r="D275" s="1641"/>
      <c r="E275" s="1641"/>
      <c r="F275" s="1641"/>
      <c r="G275" s="1641"/>
      <c r="H275" s="1642"/>
      <c r="I275" s="358">
        <f>I276+I285+I286+I287+I284</f>
        <v>11907.2</v>
      </c>
      <c r="J275" s="358">
        <f>J276+J285+J286+J287+J284</f>
        <v>17128.900000000001</v>
      </c>
      <c r="K275" s="358">
        <f>K276+K285+K286+K287+K284</f>
        <v>20673.599999999999</v>
      </c>
      <c r="L275" s="358">
        <f>L276+L285+L286+L287+L284</f>
        <v>22165.4</v>
      </c>
      <c r="R275" s="8"/>
      <c r="S275" s="8"/>
    </row>
    <row r="276" spans="1:19" ht="14.25" customHeight="1" x14ac:dyDescent="0.2">
      <c r="A276" s="1643" t="s">
        <v>81</v>
      </c>
      <c r="B276" s="1644"/>
      <c r="C276" s="1644"/>
      <c r="D276" s="1644"/>
      <c r="E276" s="1644"/>
      <c r="F276" s="1644"/>
      <c r="G276" s="1644"/>
      <c r="H276" s="1645"/>
      <c r="I276" s="77">
        <f>SUM(I277:I283)</f>
        <v>9101.6</v>
      </c>
      <c r="J276" s="77">
        <f>SUM(J277:J283)</f>
        <v>15335.8</v>
      </c>
      <c r="K276" s="77">
        <f>SUM(K277:K283)</f>
        <v>20673.599999999999</v>
      </c>
      <c r="L276" s="77">
        <f>SUM(L277:L283)</f>
        <v>22165.4</v>
      </c>
      <c r="M276" s="264"/>
      <c r="R276" s="8"/>
      <c r="S276" s="8"/>
    </row>
    <row r="277" spans="1:19" ht="14.25" customHeight="1" x14ac:dyDescent="0.2">
      <c r="A277" s="1646" t="s">
        <v>18</v>
      </c>
      <c r="B277" s="1647"/>
      <c r="C277" s="1647"/>
      <c r="D277" s="1647"/>
      <c r="E277" s="1647"/>
      <c r="F277" s="1647"/>
      <c r="G277" s="1647"/>
      <c r="H277" s="1648"/>
      <c r="I277" s="88">
        <f>SUMIF(H10:H270,"SB",I10:I270)</f>
        <v>9056.6</v>
      </c>
      <c r="J277" s="88">
        <f>SUMIF(H10:H270,"SB",J10:J270)</f>
        <v>11410.7</v>
      </c>
      <c r="K277" s="88">
        <f>SUMIF(H10:H270,"SB",K10:K270)</f>
        <v>16269</v>
      </c>
      <c r="L277" s="88">
        <f>SUMIF(H9:H270,"SB",L9:L270)</f>
        <v>18071.3</v>
      </c>
      <c r="M277" s="13"/>
      <c r="R277" s="8"/>
      <c r="S277" s="8"/>
    </row>
    <row r="278" spans="1:19" ht="14.25" customHeight="1" x14ac:dyDescent="0.2">
      <c r="A278" s="1607" t="s">
        <v>19</v>
      </c>
      <c r="B278" s="1608"/>
      <c r="C278" s="1608"/>
      <c r="D278" s="1608"/>
      <c r="E278" s="1608"/>
      <c r="F278" s="1608"/>
      <c r="G278" s="1608"/>
      <c r="H278" s="1609"/>
      <c r="I278" s="115">
        <f>SUMIF(H11:H270,"SB(SP)",I11:I270)</f>
        <v>34.700000000000003</v>
      </c>
      <c r="J278" s="115">
        <f>SUMIF(H11:H270,"SB(SP)",J11:J270)</f>
        <v>35.700000000000003</v>
      </c>
      <c r="K278" s="115">
        <f>SUMIF(H11:H270,"SB(SP)",K11:K270)</f>
        <v>35.700000000000003</v>
      </c>
      <c r="L278" s="115">
        <f>SUMIF(H11:H270,"SB(SP)",L11:L270)</f>
        <v>35.700000000000003</v>
      </c>
      <c r="M278" s="18"/>
    </row>
    <row r="279" spans="1:19" ht="12.75" customHeight="1" x14ac:dyDescent="0.2">
      <c r="A279" s="1607" t="s">
        <v>66</v>
      </c>
      <c r="B279" s="1608"/>
      <c r="C279" s="1608"/>
      <c r="D279" s="1608"/>
      <c r="E279" s="1608"/>
      <c r="F279" s="1608"/>
      <c r="G279" s="1608"/>
      <c r="H279" s="1609"/>
      <c r="I279" s="115">
        <f>SUMIF(H11:H270,"SB(VR)",I11:I270)</f>
        <v>0</v>
      </c>
      <c r="J279" s="115">
        <f>SUMIF(H11:H270,"SB(VR)",J11:J270)</f>
        <v>0</v>
      </c>
      <c r="K279" s="115">
        <f>SUMIF(H11:H270,"SB(VR)",K11:K270)</f>
        <v>0</v>
      </c>
      <c r="L279" s="115">
        <f>SUMIF(H11:H270,"SB(VR)",L11:L270)</f>
        <v>1000</v>
      </c>
      <c r="M279" s="15"/>
      <c r="N279" s="1"/>
      <c r="O279" s="1"/>
      <c r="P279" s="1"/>
      <c r="Q279" s="1"/>
    </row>
    <row r="280" spans="1:19" x14ac:dyDescent="0.2">
      <c r="A280" s="1607" t="s">
        <v>20</v>
      </c>
      <c r="B280" s="1608"/>
      <c r="C280" s="1608"/>
      <c r="D280" s="1608"/>
      <c r="E280" s="1608"/>
      <c r="F280" s="1608"/>
      <c r="G280" s="1608"/>
      <c r="H280" s="1609"/>
      <c r="I280" s="115">
        <f>SUMIF(H11:H270,"SB(P)",I11:I270)</f>
        <v>0</v>
      </c>
      <c r="J280" s="115">
        <f>SUMIF(H11:H270,"SB(P)",J11:J270)</f>
        <v>0</v>
      </c>
      <c r="K280" s="115">
        <f>SUMIF(H11:H270,"SB(P)",K11:K270)</f>
        <v>0</v>
      </c>
      <c r="L280" s="115">
        <f>SUMIF(H11:H270,"SB(P)",L11:L270)</f>
        <v>2000</v>
      </c>
      <c r="M280" s="15"/>
      <c r="N280" s="1"/>
      <c r="O280" s="1"/>
      <c r="P280" s="1"/>
      <c r="Q280" s="1"/>
    </row>
    <row r="281" spans="1:19" x14ac:dyDescent="0.2">
      <c r="A281" s="1607" t="s">
        <v>84</v>
      </c>
      <c r="B281" s="1608"/>
      <c r="C281" s="1608"/>
      <c r="D281" s="1608"/>
      <c r="E281" s="1608"/>
      <c r="F281" s="1608"/>
      <c r="G281" s="1608"/>
      <c r="H281" s="1609"/>
      <c r="I281" s="115">
        <f>SUMIF(H12:H270,"SB(VB)",I12:I270)</f>
        <v>0.9</v>
      </c>
      <c r="J281" s="115">
        <f>SUMIF(H13:H270,"SB(VB)",J13:J270)</f>
        <v>315.5</v>
      </c>
      <c r="K281" s="115">
        <f>SUMIF(H13:H270,"SB(VB)",K13:K270)</f>
        <v>354.3</v>
      </c>
      <c r="L281" s="115">
        <f>SUMIF(H13:H270,"SB(VB)",L13:L270)</f>
        <v>85.8</v>
      </c>
    </row>
    <row r="282" spans="1:19" x14ac:dyDescent="0.2">
      <c r="A282" s="1632" t="s">
        <v>153</v>
      </c>
      <c r="B282" s="1633"/>
      <c r="C282" s="1633"/>
      <c r="D282" s="1633"/>
      <c r="E282" s="1633"/>
      <c r="F282" s="1633"/>
      <c r="G282" s="1633"/>
      <c r="H282" s="1634"/>
      <c r="I282" s="115">
        <f>SUMIF(H11:H270,"SB(KPP)",I11:I270)</f>
        <v>0</v>
      </c>
      <c r="J282" s="115">
        <f>SUMIF(H48:H264,"SB(KPP)",J48:J264)</f>
        <v>0</v>
      </c>
      <c r="K282" s="115">
        <f>SUMIF(H48:H264,"SB(KPP)",K48:K264)</f>
        <v>0</v>
      </c>
      <c r="L282" s="115">
        <f>SUMIF(H48:H264,"SB(KPP)",L48:L264)</f>
        <v>0</v>
      </c>
      <c r="M282" s="43"/>
      <c r="N282" s="43"/>
      <c r="O282" s="43"/>
      <c r="P282" s="43"/>
      <c r="Q282" s="43"/>
    </row>
    <row r="283" spans="1:19" ht="14.25" customHeight="1" x14ac:dyDescent="0.2">
      <c r="A283" s="1610" t="s">
        <v>191</v>
      </c>
      <c r="B283" s="1611"/>
      <c r="C283" s="1611"/>
      <c r="D283" s="1611"/>
      <c r="E283" s="1611"/>
      <c r="F283" s="1611"/>
      <c r="G283" s="1611"/>
      <c r="H283" s="1612"/>
      <c r="I283" s="115">
        <f>SUMIF(H11:H268,"SB(ES)",I11:I268)</f>
        <v>9.4</v>
      </c>
      <c r="J283" s="115">
        <f>SUMIF(H11:H268,"SB(ES)",J11:J268)</f>
        <v>3573.9</v>
      </c>
      <c r="K283" s="115">
        <f>SUMIF(H11:H268,"SB(ES)",K11:K268)</f>
        <v>4014.6</v>
      </c>
      <c r="L283" s="115">
        <f>SUMIF(H11:H268,"SB(ES)",L11:L268)</f>
        <v>972.6</v>
      </c>
    </row>
    <row r="284" spans="1:19" ht="14.25" customHeight="1" x14ac:dyDescent="0.2">
      <c r="A284" s="1623" t="s">
        <v>59</v>
      </c>
      <c r="B284" s="1624"/>
      <c r="C284" s="1624"/>
      <c r="D284" s="1624"/>
      <c r="E284" s="1624"/>
      <c r="F284" s="1624"/>
      <c r="G284" s="1624"/>
      <c r="H284" s="1625"/>
      <c r="I284" s="241">
        <f>SUMIF(H11:H264,"SB(L)",I11:I264)</f>
        <v>2801.2</v>
      </c>
      <c r="J284" s="241">
        <f>SUMIF(H11:H267,"SB(L)",J11:J267)</f>
        <v>1786.5</v>
      </c>
      <c r="K284" s="241">
        <f>SUMIF(H11:H264,"SB(L)",K11:K264)</f>
        <v>0</v>
      </c>
      <c r="L284" s="241">
        <f>SUMIF(H11:H264,"SB(L)",L11:L264)</f>
        <v>0</v>
      </c>
    </row>
    <row r="285" spans="1:19" x14ac:dyDescent="0.2">
      <c r="A285" s="1623" t="s">
        <v>82</v>
      </c>
      <c r="B285" s="1624"/>
      <c r="C285" s="1624"/>
      <c r="D285" s="1624"/>
      <c r="E285" s="1624"/>
      <c r="F285" s="1624"/>
      <c r="G285" s="1624"/>
      <c r="H285" s="1625"/>
      <c r="I285" s="473">
        <f>SUMIF(H11:H270,"SB(SPL)",I11:I270)</f>
        <v>4.4000000000000004</v>
      </c>
      <c r="J285" s="473">
        <f>SUMIF(H11:H270,"SB(SPL)",J11:J270)</f>
        <v>6.6</v>
      </c>
      <c r="K285" s="473">
        <f>SUMIF(H11:H270,"SB(SPL)",K11:K270)</f>
        <v>0</v>
      </c>
      <c r="L285" s="79">
        <f>SUMIF(H11:H270,"SB(SPL)",L11:L270)</f>
        <v>0</v>
      </c>
    </row>
    <row r="286" spans="1:19" x14ac:dyDescent="0.2">
      <c r="A286" s="1623" t="s">
        <v>85</v>
      </c>
      <c r="B286" s="1624"/>
      <c r="C286" s="1624"/>
      <c r="D286" s="1624"/>
      <c r="E286" s="1624"/>
      <c r="F286" s="1624"/>
      <c r="G286" s="1624"/>
      <c r="H286" s="1625"/>
      <c r="I286" s="473">
        <f>SUMIF(H11:H270,"SB(ŽPL)",I11:I270)</f>
        <v>0</v>
      </c>
      <c r="J286" s="473">
        <f>SUMIF(H11:H270,"SB(ŽPL)",J11:J270)</f>
        <v>0</v>
      </c>
      <c r="K286" s="79">
        <f>SUMIF(H11:H270,"SB(ŽPL)",K11:K270)</f>
        <v>0</v>
      </c>
      <c r="L286" s="79">
        <f>SUMIF(I11:I270,"SB(ŽPL)",L11:L270)</f>
        <v>0</v>
      </c>
    </row>
    <row r="287" spans="1:19" ht="12" customHeight="1" x14ac:dyDescent="0.2">
      <c r="A287" s="1623" t="s">
        <v>83</v>
      </c>
      <c r="B287" s="1624"/>
      <c r="C287" s="1624"/>
      <c r="D287" s="1624"/>
      <c r="E287" s="1624"/>
      <c r="F287" s="1624"/>
      <c r="G287" s="1624"/>
      <c r="H287" s="1625"/>
      <c r="I287" s="241">
        <f>SUMIF(H11:H270,"SB(VRL)",I11:I270)</f>
        <v>0</v>
      </c>
      <c r="J287" s="241">
        <f>SUMIF(H48:H270,"SB(VRL)",J48:J270)</f>
        <v>0</v>
      </c>
      <c r="K287" s="241">
        <f>SUMIF(H48:H270,"SB(VRL)",K48:K270)</f>
        <v>0</v>
      </c>
      <c r="L287" s="241">
        <f>SUMIF(I48:I270,"SB(VRL)",L48:L270)</f>
        <v>0</v>
      </c>
    </row>
    <row r="288" spans="1:19" x14ac:dyDescent="0.2">
      <c r="A288" s="1626" t="s">
        <v>15</v>
      </c>
      <c r="B288" s="1627"/>
      <c r="C288" s="1627"/>
      <c r="D288" s="1627"/>
      <c r="E288" s="1627"/>
      <c r="F288" s="1627"/>
      <c r="G288" s="1627"/>
      <c r="H288" s="1628"/>
      <c r="I288" s="477">
        <f>SUM(I289:I292)</f>
        <v>802.5</v>
      </c>
      <c r="J288" s="477">
        <f>SUM(J289:J292)</f>
        <v>1027</v>
      </c>
      <c r="K288" s="579">
        <f t="shared" ref="K288" si="11">SUM(K289:K292)</f>
        <v>3659.5</v>
      </c>
      <c r="L288" s="579">
        <f t="shared" ref="L288" si="12">SUM(L289:L292)</f>
        <v>2694.2</v>
      </c>
    </row>
    <row r="289" spans="1:17" x14ac:dyDescent="0.2">
      <c r="A289" s="1629" t="s">
        <v>124</v>
      </c>
      <c r="B289" s="1630"/>
      <c r="C289" s="1630"/>
      <c r="D289" s="1630"/>
      <c r="E289" s="1630"/>
      <c r="F289" s="1630"/>
      <c r="G289" s="1630"/>
      <c r="H289" s="1631"/>
      <c r="I289" s="115">
        <f>SUMIF(H12:H270,"KVJUD",I12:I270)</f>
        <v>0</v>
      </c>
      <c r="J289" s="115">
        <f>SUMIF(H12:H270,"KVJUD",J12:J270)</f>
        <v>0</v>
      </c>
      <c r="K289" s="115">
        <f>SUMIF(H12:H270,"KVJUD",K12:K270)</f>
        <v>0</v>
      </c>
      <c r="L289" s="115">
        <f>SUMIF(H12:H270,"KVJUD",L12:L270)</f>
        <v>0</v>
      </c>
    </row>
    <row r="290" spans="1:17" ht="13.5" customHeight="1" x14ac:dyDescent="0.2">
      <c r="A290" s="1607" t="s">
        <v>22</v>
      </c>
      <c r="B290" s="1608"/>
      <c r="C290" s="1608"/>
      <c r="D290" s="1608"/>
      <c r="E290" s="1608"/>
      <c r="F290" s="1608"/>
      <c r="G290" s="1608"/>
      <c r="H290" s="1609"/>
      <c r="I290" s="115">
        <f>SUMIF(H11:H270,"LRVB",I11:I270)</f>
        <v>65.099999999999994</v>
      </c>
      <c r="J290" s="115">
        <f>SUMIF(H11:H270,"LRVB",J11:J270)</f>
        <v>83.3</v>
      </c>
      <c r="K290" s="115">
        <f>SUMIF(H11:H270,"LRVB",K11:K270)</f>
        <v>296.7</v>
      </c>
      <c r="L290" s="115">
        <f>SUMIF(H11:H270,"LRVB",L11:L270)</f>
        <v>218.5</v>
      </c>
    </row>
    <row r="291" spans="1:17" ht="14.25" customHeight="1" x14ac:dyDescent="0.2">
      <c r="A291" s="1610" t="s">
        <v>21</v>
      </c>
      <c r="B291" s="1611"/>
      <c r="C291" s="1611"/>
      <c r="D291" s="1611"/>
      <c r="E291" s="1611"/>
      <c r="F291" s="1611"/>
      <c r="G291" s="1611"/>
      <c r="H291" s="1612"/>
      <c r="I291" s="78">
        <f>SUMIF(H12:H268,"ES",I12:I268)</f>
        <v>737.4</v>
      </c>
      <c r="J291" s="78">
        <f>SUMIF(H12:H268,"ES",J12:J268)</f>
        <v>943.7</v>
      </c>
      <c r="K291" s="78">
        <f>SUMIF(H12:H268,"ES",K12:K268)</f>
        <v>3362.8</v>
      </c>
      <c r="L291" s="78">
        <f>SUMIF(H12:H268,"ES",L12:L268)</f>
        <v>2475.6999999999998</v>
      </c>
    </row>
    <row r="292" spans="1:17" ht="15.75" customHeight="1" x14ac:dyDescent="0.2">
      <c r="A292" s="1607" t="s">
        <v>23</v>
      </c>
      <c r="B292" s="1608"/>
      <c r="C292" s="1608"/>
      <c r="D292" s="1608"/>
      <c r="E292" s="1608"/>
      <c r="F292" s="1608"/>
      <c r="G292" s="1608"/>
      <c r="H292" s="1609"/>
      <c r="I292" s="115">
        <f>SUMIF(H11:H270,"Kt",I11:I270)</f>
        <v>0</v>
      </c>
      <c r="J292" s="115">
        <f>SUMIF(H11:H270,"Kt",J11:J270)</f>
        <v>0</v>
      </c>
      <c r="K292" s="115">
        <f>SUMIF(H11:H270,"Kt",K11:K270)</f>
        <v>0</v>
      </c>
      <c r="L292" s="115">
        <f>SUMIF(H11:H270,"Kt",L11:L270)</f>
        <v>0</v>
      </c>
    </row>
    <row r="293" spans="1:17" ht="15" customHeight="1" thickBot="1" x14ac:dyDescent="0.25">
      <c r="A293" s="1613" t="s">
        <v>16</v>
      </c>
      <c r="B293" s="1614"/>
      <c r="C293" s="1614"/>
      <c r="D293" s="1614"/>
      <c r="E293" s="1614"/>
      <c r="F293" s="1614"/>
      <c r="G293" s="1614"/>
      <c r="H293" s="1615"/>
      <c r="I293" s="360">
        <f>SUM(I275,I288)</f>
        <v>12709.7</v>
      </c>
      <c r="J293" s="360">
        <f>SUM(J275,J288)</f>
        <v>18155.900000000001</v>
      </c>
      <c r="K293" s="360">
        <f>SUM(K275,K288)</f>
        <v>24333.1</v>
      </c>
      <c r="L293" s="360">
        <f>SUM(L275,L288)</f>
        <v>24859.599999999999</v>
      </c>
      <c r="N293" s="3"/>
      <c r="O293" s="3"/>
      <c r="P293" s="3"/>
      <c r="Q293" s="3"/>
    </row>
    <row r="294" spans="1:17" x14ac:dyDescent="0.2">
      <c r="I294" s="9"/>
      <c r="J294" s="9"/>
      <c r="K294" s="9"/>
      <c r="L294" s="9"/>
      <c r="M294" s="9"/>
      <c r="N294" s="8"/>
      <c r="O294" s="8"/>
      <c r="P294" s="8"/>
      <c r="Q294" s="8"/>
    </row>
    <row r="295" spans="1:17" x14ac:dyDescent="0.2">
      <c r="I295" s="543"/>
      <c r="J295" s="543"/>
      <c r="K295" s="543"/>
      <c r="L295" s="543"/>
      <c r="M295" s="9"/>
      <c r="N295" s="9"/>
      <c r="O295" s="9"/>
      <c r="P295" s="9"/>
      <c r="Q295" s="9"/>
    </row>
    <row r="296" spans="1:17" x14ac:dyDescent="0.2">
      <c r="I296" s="14"/>
      <c r="J296" s="14"/>
      <c r="K296" s="14"/>
      <c r="L296" s="14"/>
    </row>
    <row r="297" spans="1:17" x14ac:dyDescent="0.2">
      <c r="I297" s="14"/>
      <c r="J297" s="14"/>
      <c r="K297" s="14"/>
      <c r="L297" s="14"/>
    </row>
    <row r="298" spans="1:17" x14ac:dyDescent="0.2">
      <c r="I298" s="43"/>
      <c r="J298" s="43"/>
      <c r="K298" s="43"/>
      <c r="L298" s="43"/>
    </row>
    <row r="299" spans="1:17" x14ac:dyDescent="0.2">
      <c r="M299" s="14"/>
    </row>
  </sheetData>
  <mergeCells count="258">
    <mergeCell ref="M99:M100"/>
    <mergeCell ref="M233:M234"/>
    <mergeCell ref="M34:M35"/>
    <mergeCell ref="F16:F17"/>
    <mergeCell ref="M54:M55"/>
    <mergeCell ref="E56:E57"/>
    <mergeCell ref="E52:E53"/>
    <mergeCell ref="M93:M94"/>
    <mergeCell ref="G23:G27"/>
    <mergeCell ref="E23:E27"/>
    <mergeCell ref="F23:F27"/>
    <mergeCell ref="M24:M26"/>
    <mergeCell ref="E38:E41"/>
    <mergeCell ref="F38:F41"/>
    <mergeCell ref="M39:M41"/>
    <mergeCell ref="E42:E45"/>
    <mergeCell ref="F42:F45"/>
    <mergeCell ref="M43:M45"/>
    <mergeCell ref="E58:E59"/>
    <mergeCell ref="G58:G59"/>
    <mergeCell ref="M70:M71"/>
    <mergeCell ref="E61:E63"/>
    <mergeCell ref="E28:E32"/>
    <mergeCell ref="F28:F32"/>
    <mergeCell ref="D50:D51"/>
    <mergeCell ref="G95:G98"/>
    <mergeCell ref="D93:D94"/>
    <mergeCell ref="A10:Q10"/>
    <mergeCell ref="D48:D49"/>
    <mergeCell ref="B12:Q12"/>
    <mergeCell ref="C13:Q13"/>
    <mergeCell ref="G48:G49"/>
    <mergeCell ref="M48:M49"/>
    <mergeCell ref="E48:E49"/>
    <mergeCell ref="A11:Q11"/>
    <mergeCell ref="G50:G51"/>
    <mergeCell ref="E14:E22"/>
    <mergeCell ref="G14:G22"/>
    <mergeCell ref="M14:M22"/>
    <mergeCell ref="E54:E55"/>
    <mergeCell ref="F50:F51"/>
    <mergeCell ref="E72:E75"/>
    <mergeCell ref="F72:F90"/>
    <mergeCell ref="G91:G92"/>
    <mergeCell ref="E50:E51"/>
    <mergeCell ref="G56:G57"/>
    <mergeCell ref="G61:G63"/>
    <mergeCell ref="M52:M53"/>
    <mergeCell ref="M28:M32"/>
    <mergeCell ref="D33:D37"/>
    <mergeCell ref="E33:E37"/>
    <mergeCell ref="F33:F37"/>
    <mergeCell ref="D46:D47"/>
    <mergeCell ref="E46:E47"/>
    <mergeCell ref="G46:G47"/>
    <mergeCell ref="R215:S215"/>
    <mergeCell ref="C155:C156"/>
    <mergeCell ref="C141:C142"/>
    <mergeCell ref="D155:D156"/>
    <mergeCell ref="Q155:Q156"/>
    <mergeCell ref="E196:E198"/>
    <mergeCell ref="C194:Q194"/>
    <mergeCell ref="G195:G198"/>
    <mergeCell ref="M201:M202"/>
    <mergeCell ref="M144:M145"/>
    <mergeCell ref="D141:D142"/>
    <mergeCell ref="E149:E150"/>
    <mergeCell ref="E141:E142"/>
    <mergeCell ref="D152:D153"/>
    <mergeCell ref="E152:E153"/>
    <mergeCell ref="G151:G153"/>
    <mergeCell ref="G141:G142"/>
    <mergeCell ref="B141:B142"/>
    <mergeCell ref="E108:E110"/>
    <mergeCell ref="F108:F110"/>
    <mergeCell ref="D28:D32"/>
    <mergeCell ref="M261:M262"/>
    <mergeCell ref="A236:A238"/>
    <mergeCell ref="B236:B238"/>
    <mergeCell ref="G159:G162"/>
    <mergeCell ref="D165:D168"/>
    <mergeCell ref="E218:E219"/>
    <mergeCell ref="M222:M223"/>
    <mergeCell ref="E221:E223"/>
    <mergeCell ref="E215:E216"/>
    <mergeCell ref="C193:H193"/>
    <mergeCell ref="D173:D177"/>
    <mergeCell ref="A258:A260"/>
    <mergeCell ref="E209:E210"/>
    <mergeCell ref="F209:F210"/>
    <mergeCell ref="C212:H212"/>
    <mergeCell ref="C213:O213"/>
    <mergeCell ref="E256:E257"/>
    <mergeCell ref="A226:A227"/>
    <mergeCell ref="B226:B227"/>
    <mergeCell ref="G240:G241"/>
    <mergeCell ref="A155:A156"/>
    <mergeCell ref="P155:P156"/>
    <mergeCell ref="O155:O156"/>
    <mergeCell ref="M218:M219"/>
    <mergeCell ref="M199:M200"/>
    <mergeCell ref="G215:G217"/>
    <mergeCell ref="D209:D210"/>
    <mergeCell ref="B155:B156"/>
    <mergeCell ref="M155:M156"/>
    <mergeCell ref="D179:D185"/>
    <mergeCell ref="D157:D158"/>
    <mergeCell ref="E157:E158"/>
    <mergeCell ref="D186:D191"/>
    <mergeCell ref="E163:E164"/>
    <mergeCell ref="E199:E203"/>
    <mergeCell ref="F155:F156"/>
    <mergeCell ref="E159:E162"/>
    <mergeCell ref="E155:E156"/>
    <mergeCell ref="F157:F158"/>
    <mergeCell ref="A157:A158"/>
    <mergeCell ref="B157:B158"/>
    <mergeCell ref="M1:Q1"/>
    <mergeCell ref="A3:Q3"/>
    <mergeCell ref="A7:A9"/>
    <mergeCell ref="B7:B9"/>
    <mergeCell ref="C7:C9"/>
    <mergeCell ref="D7:D9"/>
    <mergeCell ref="E7:E9"/>
    <mergeCell ref="F7:F9"/>
    <mergeCell ref="G7:G9"/>
    <mergeCell ref="H7:H9"/>
    <mergeCell ref="I7:I9"/>
    <mergeCell ref="L7:L9"/>
    <mergeCell ref="M7:Q7"/>
    <mergeCell ref="A4:Q4"/>
    <mergeCell ref="A5:Q5"/>
    <mergeCell ref="M6:Q6"/>
    <mergeCell ref="M8:M9"/>
    <mergeCell ref="N8:Q8"/>
    <mergeCell ref="J7:J9"/>
    <mergeCell ref="K7:K9"/>
    <mergeCell ref="A278:H278"/>
    <mergeCell ref="A280:H280"/>
    <mergeCell ref="A275:H275"/>
    <mergeCell ref="A284:H284"/>
    <mergeCell ref="A281:H281"/>
    <mergeCell ref="A276:H276"/>
    <mergeCell ref="A289:H289"/>
    <mergeCell ref="C268:H268"/>
    <mergeCell ref="A283:H283"/>
    <mergeCell ref="A279:H279"/>
    <mergeCell ref="A277:H277"/>
    <mergeCell ref="A274:H274"/>
    <mergeCell ref="B269:H269"/>
    <mergeCell ref="A271:M271"/>
    <mergeCell ref="M270:Q270"/>
    <mergeCell ref="M269:Q269"/>
    <mergeCell ref="A293:H293"/>
    <mergeCell ref="A290:H290"/>
    <mergeCell ref="A287:H287"/>
    <mergeCell ref="A291:H291"/>
    <mergeCell ref="A292:H292"/>
    <mergeCell ref="A288:H288"/>
    <mergeCell ref="A285:H285"/>
    <mergeCell ref="A286:H286"/>
    <mergeCell ref="A282:H282"/>
    <mergeCell ref="G228:G230"/>
    <mergeCell ref="F226:F227"/>
    <mergeCell ref="D226:D227"/>
    <mergeCell ref="E228:E233"/>
    <mergeCell ref="E226:E227"/>
    <mergeCell ref="A273:H273"/>
    <mergeCell ref="G258:G260"/>
    <mergeCell ref="E258:E260"/>
    <mergeCell ref="F258:F260"/>
    <mergeCell ref="E261:E262"/>
    <mergeCell ref="G261:G262"/>
    <mergeCell ref="E265:E266"/>
    <mergeCell ref="C226:C227"/>
    <mergeCell ref="G265:G266"/>
    <mergeCell ref="B270:H270"/>
    <mergeCell ref="C258:C260"/>
    <mergeCell ref="B258:B260"/>
    <mergeCell ref="E263:E264"/>
    <mergeCell ref="G263:G264"/>
    <mergeCell ref="C255:H255"/>
    <mergeCell ref="C254:H254"/>
    <mergeCell ref="C236:C238"/>
    <mergeCell ref="D236:D238"/>
    <mergeCell ref="E236:E238"/>
    <mergeCell ref="D72:D90"/>
    <mergeCell ref="F236:F238"/>
    <mergeCell ref="G236:G238"/>
    <mergeCell ref="C93:C94"/>
    <mergeCell ref="G112:G113"/>
    <mergeCell ref="G103:G105"/>
    <mergeCell ref="D99:D100"/>
    <mergeCell ref="E99:E100"/>
    <mergeCell ref="F99:F100"/>
    <mergeCell ref="G99:G100"/>
    <mergeCell ref="G138:G140"/>
    <mergeCell ref="F139:F140"/>
    <mergeCell ref="D101:D102"/>
    <mergeCell ref="E101:E102"/>
    <mergeCell ref="G101:G102"/>
    <mergeCell ref="E95:E98"/>
    <mergeCell ref="G226:G227"/>
    <mergeCell ref="C157:C158"/>
    <mergeCell ref="F221:F223"/>
    <mergeCell ref="G221:G222"/>
    <mergeCell ref="G93:G94"/>
    <mergeCell ref="G130:G131"/>
    <mergeCell ref="D111:F111"/>
    <mergeCell ref="E114:E119"/>
    <mergeCell ref="D60:G60"/>
    <mergeCell ref="D56:D57"/>
    <mergeCell ref="G114:G120"/>
    <mergeCell ref="E121:E122"/>
    <mergeCell ref="E123:E124"/>
    <mergeCell ref="A126:A127"/>
    <mergeCell ref="B126:B127"/>
    <mergeCell ref="D126:D127"/>
    <mergeCell ref="E126:E127"/>
    <mergeCell ref="F126:F127"/>
    <mergeCell ref="D58:D59"/>
    <mergeCell ref="A64:A71"/>
    <mergeCell ref="B64:B71"/>
    <mergeCell ref="C64:C71"/>
    <mergeCell ref="D64:D71"/>
    <mergeCell ref="E64:E71"/>
    <mergeCell ref="F64:F71"/>
    <mergeCell ref="G64:G71"/>
    <mergeCell ref="A91:A92"/>
    <mergeCell ref="B91:B92"/>
    <mergeCell ref="C91:C92"/>
    <mergeCell ref="D91:D92"/>
    <mergeCell ref="E91:E92"/>
    <mergeCell ref="F91:F92"/>
    <mergeCell ref="A141:A142"/>
    <mergeCell ref="B139:B140"/>
    <mergeCell ref="C139:C140"/>
    <mergeCell ref="D103:D105"/>
    <mergeCell ref="A93:A94"/>
    <mergeCell ref="B93:B94"/>
    <mergeCell ref="M112:M113"/>
    <mergeCell ref="M119:M120"/>
    <mergeCell ref="M123:M124"/>
    <mergeCell ref="E106:E107"/>
    <mergeCell ref="A139:A140"/>
    <mergeCell ref="A99:A100"/>
    <mergeCell ref="B99:B100"/>
    <mergeCell ref="C99:C100"/>
    <mergeCell ref="E103:E105"/>
    <mergeCell ref="D139:D140"/>
    <mergeCell ref="F97:F98"/>
    <mergeCell ref="E93:E94"/>
    <mergeCell ref="F93:F94"/>
    <mergeCell ref="E112:E113"/>
    <mergeCell ref="E128:E129"/>
    <mergeCell ref="M108:M110"/>
    <mergeCell ref="E139:E140"/>
    <mergeCell ref="F114:F120"/>
  </mergeCells>
  <printOptions horizontalCentered="1"/>
  <pageMargins left="0.59055118110236227" right="0.19685039370078741" top="0.31496062992125984" bottom="0.19685039370078741" header="0" footer="0"/>
  <pageSetup paperSize="9" scale="61" orientation="portrait" r:id="rId1"/>
  <rowBreaks count="1" manualBreakCount="1">
    <brk id="133" max="16"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A268"/>
  <sheetViews>
    <sheetView view="pageBreakPreview" topLeftCell="A49" zoomScaleNormal="100" zoomScaleSheetLayoutView="100" workbookViewId="0">
      <selection activeCell="R259" sqref="R259"/>
    </sheetView>
  </sheetViews>
  <sheetFormatPr defaultRowHeight="12.75" x14ac:dyDescent="0.2"/>
  <cols>
    <col min="1" max="3" width="2.7109375" style="5" customWidth="1"/>
    <col min="4" max="4" width="34.7109375" style="5" customWidth="1"/>
    <col min="5" max="5" width="3.5703125" style="12" customWidth="1"/>
    <col min="6" max="6" width="4.140625" style="684" customWidth="1"/>
    <col min="7" max="7" width="8.28515625" style="19" customWidth="1"/>
    <col min="8" max="8" width="8.85546875" style="5" customWidth="1"/>
    <col min="9" max="9" width="9.5703125" style="5" customWidth="1"/>
    <col min="10" max="16" width="8.85546875" style="5" customWidth="1"/>
    <col min="17" max="17" width="37.7109375" style="5" customWidth="1"/>
    <col min="18" max="20" width="4.5703125" style="5" customWidth="1"/>
    <col min="21" max="21" width="36" style="5" customWidth="1"/>
    <col min="22" max="22" width="35.85546875" style="3" customWidth="1"/>
    <col min="23" max="16384" width="9.140625" style="3"/>
  </cols>
  <sheetData>
    <row r="1" spans="1:21" ht="18" customHeight="1" x14ac:dyDescent="0.2">
      <c r="F1" s="240"/>
      <c r="O1" s="413"/>
      <c r="P1" s="414"/>
      <c r="Q1" s="414"/>
      <c r="R1" s="414"/>
      <c r="S1" s="415"/>
      <c r="T1" s="3"/>
      <c r="U1" s="903" t="s">
        <v>196</v>
      </c>
    </row>
    <row r="2" spans="1:21" s="43" customFormat="1" ht="12" customHeight="1" x14ac:dyDescent="0.2">
      <c r="A2" s="229"/>
      <c r="B2" s="230"/>
      <c r="C2" s="342"/>
      <c r="E2" s="231"/>
      <c r="F2" s="40"/>
      <c r="G2" s="40"/>
      <c r="H2" s="14"/>
      <c r="I2" s="14"/>
      <c r="J2" s="14"/>
      <c r="K2" s="14"/>
      <c r="L2" s="14"/>
      <c r="M2" s="14"/>
      <c r="N2" s="589"/>
      <c r="O2" s="589"/>
      <c r="P2" s="589"/>
      <c r="Q2" s="589"/>
      <c r="R2" s="589"/>
      <c r="S2" s="589"/>
    </row>
    <row r="3" spans="1:21" ht="11.25" customHeight="1" x14ac:dyDescent="0.2">
      <c r="C3" s="9"/>
      <c r="F3" s="240"/>
      <c r="N3" s="239"/>
      <c r="O3" s="239"/>
      <c r="P3" s="239"/>
      <c r="Q3" s="239"/>
      <c r="R3" s="239"/>
      <c r="S3" s="239"/>
      <c r="T3" s="3"/>
      <c r="U3" s="3"/>
    </row>
    <row r="4" spans="1:21" s="47" customFormat="1" ht="15.75" x14ac:dyDescent="0.2">
      <c r="A4" s="1618" t="s">
        <v>265</v>
      </c>
      <c r="B4" s="1618"/>
      <c r="C4" s="1618"/>
      <c r="D4" s="1618"/>
      <c r="E4" s="1618"/>
      <c r="F4" s="1618"/>
      <c r="G4" s="1618"/>
      <c r="H4" s="1618"/>
      <c r="I4" s="1618"/>
      <c r="J4" s="1618"/>
      <c r="K4" s="1618"/>
      <c r="L4" s="1618"/>
      <c r="M4" s="1618"/>
      <c r="N4" s="1618"/>
      <c r="O4" s="1618"/>
      <c r="P4" s="1618"/>
      <c r="Q4" s="1618"/>
      <c r="R4" s="1618"/>
      <c r="S4" s="1618"/>
    </row>
    <row r="5" spans="1:21" ht="15.75" x14ac:dyDescent="0.2">
      <c r="A5" s="1619" t="s">
        <v>25</v>
      </c>
      <c r="B5" s="1619"/>
      <c r="C5" s="1619"/>
      <c r="D5" s="1619"/>
      <c r="E5" s="1619"/>
      <c r="F5" s="1619"/>
      <c r="G5" s="1619"/>
      <c r="H5" s="1619"/>
      <c r="I5" s="1619"/>
      <c r="J5" s="1619"/>
      <c r="K5" s="1619"/>
      <c r="L5" s="1619"/>
      <c r="M5" s="1619"/>
      <c r="N5" s="1619"/>
      <c r="O5" s="1619"/>
      <c r="P5" s="1619"/>
      <c r="Q5" s="1619"/>
      <c r="R5" s="1619"/>
      <c r="S5" s="1619"/>
      <c r="T5" s="3"/>
      <c r="U5" s="3"/>
    </row>
    <row r="6" spans="1:21" ht="15.75" x14ac:dyDescent="0.2">
      <c r="A6" s="1620" t="s">
        <v>98</v>
      </c>
      <c r="B6" s="1620"/>
      <c r="C6" s="1620"/>
      <c r="D6" s="1620"/>
      <c r="E6" s="1620"/>
      <c r="F6" s="1620"/>
      <c r="G6" s="1620"/>
      <c r="H6" s="1620"/>
      <c r="I6" s="1620"/>
      <c r="J6" s="1620"/>
      <c r="K6" s="1620"/>
      <c r="L6" s="1620"/>
      <c r="M6" s="1620"/>
      <c r="N6" s="1620"/>
      <c r="O6" s="1620"/>
      <c r="P6" s="1620"/>
      <c r="Q6" s="1620"/>
      <c r="R6" s="1620"/>
      <c r="S6" s="1620"/>
      <c r="T6" s="3"/>
      <c r="U6" s="3"/>
    </row>
    <row r="7" spans="1:21" ht="13.5" thickBot="1" x14ac:dyDescent="0.25">
      <c r="C7" s="9"/>
      <c r="P7" s="1621" t="s">
        <v>95</v>
      </c>
      <c r="Q7" s="1621"/>
      <c r="R7" s="1621"/>
      <c r="S7" s="1622"/>
      <c r="T7" s="3"/>
      <c r="U7" s="3"/>
    </row>
    <row r="8" spans="1:21" s="47" customFormat="1" ht="24.75" customHeight="1" x14ac:dyDescent="0.2">
      <c r="A8" s="1798" t="s">
        <v>17</v>
      </c>
      <c r="B8" s="1801" t="s">
        <v>0</v>
      </c>
      <c r="C8" s="1801" t="s">
        <v>1</v>
      </c>
      <c r="D8" s="1986" t="s">
        <v>12</v>
      </c>
      <c r="E8" s="1801" t="s">
        <v>2</v>
      </c>
      <c r="F8" s="1989" t="s">
        <v>3</v>
      </c>
      <c r="G8" s="1795" t="s">
        <v>4</v>
      </c>
      <c r="H8" s="1995" t="s">
        <v>203</v>
      </c>
      <c r="I8" s="1992" t="s">
        <v>309</v>
      </c>
      <c r="J8" s="1983" t="s">
        <v>193</v>
      </c>
      <c r="K8" s="1995" t="s">
        <v>148</v>
      </c>
      <c r="L8" s="1992" t="s">
        <v>194</v>
      </c>
      <c r="M8" s="1983" t="s">
        <v>193</v>
      </c>
      <c r="N8" s="1995" t="s">
        <v>198</v>
      </c>
      <c r="O8" s="1992" t="s">
        <v>310</v>
      </c>
      <c r="P8" s="1983" t="s">
        <v>193</v>
      </c>
      <c r="Q8" s="1779" t="s">
        <v>11</v>
      </c>
      <c r="R8" s="1780"/>
      <c r="S8" s="1780"/>
      <c r="T8" s="1780"/>
      <c r="U8" s="393"/>
    </row>
    <row r="9" spans="1:21" s="47" customFormat="1" ht="18.75" customHeight="1" x14ac:dyDescent="0.2">
      <c r="A9" s="1799"/>
      <c r="B9" s="1802"/>
      <c r="C9" s="1802"/>
      <c r="D9" s="1987"/>
      <c r="E9" s="1802"/>
      <c r="F9" s="1990"/>
      <c r="G9" s="1796"/>
      <c r="H9" s="1996"/>
      <c r="I9" s="1993"/>
      <c r="J9" s="1984"/>
      <c r="K9" s="1996"/>
      <c r="L9" s="1993"/>
      <c r="M9" s="1984"/>
      <c r="N9" s="1996"/>
      <c r="O9" s="1993"/>
      <c r="P9" s="1984"/>
      <c r="Q9" s="1782" t="s">
        <v>12</v>
      </c>
      <c r="R9" s="1784" t="s">
        <v>77</v>
      </c>
      <c r="S9" s="1784"/>
      <c r="T9" s="1784"/>
      <c r="U9" s="707" t="s">
        <v>195</v>
      </c>
    </row>
    <row r="10" spans="1:21" s="47" customFormat="1" ht="81" customHeight="1" thickBot="1" x14ac:dyDescent="0.25">
      <c r="A10" s="1800"/>
      <c r="B10" s="1803"/>
      <c r="C10" s="1803"/>
      <c r="D10" s="1988"/>
      <c r="E10" s="1803"/>
      <c r="F10" s="1991"/>
      <c r="G10" s="1797"/>
      <c r="H10" s="1997"/>
      <c r="I10" s="1994"/>
      <c r="J10" s="1985"/>
      <c r="K10" s="1997"/>
      <c r="L10" s="1994"/>
      <c r="M10" s="1985"/>
      <c r="N10" s="1997"/>
      <c r="O10" s="1994"/>
      <c r="P10" s="1985"/>
      <c r="Q10" s="1783"/>
      <c r="R10" s="394" t="s">
        <v>102</v>
      </c>
      <c r="S10" s="394" t="s">
        <v>149</v>
      </c>
      <c r="T10" s="394" t="s">
        <v>199</v>
      </c>
      <c r="U10" s="395"/>
    </row>
    <row r="11" spans="1:21" s="11" customFormat="1" ht="15" customHeight="1" x14ac:dyDescent="0.2">
      <c r="A11" s="1786" t="s">
        <v>60</v>
      </c>
      <c r="B11" s="1787"/>
      <c r="C11" s="1787"/>
      <c r="D11" s="1787"/>
      <c r="E11" s="1787"/>
      <c r="F11" s="1787"/>
      <c r="G11" s="1787"/>
      <c r="H11" s="1787"/>
      <c r="I11" s="1787"/>
      <c r="J11" s="1787"/>
      <c r="K11" s="1787"/>
      <c r="L11" s="1787"/>
      <c r="M11" s="1787"/>
      <c r="N11" s="1787"/>
      <c r="O11" s="1787"/>
      <c r="P11" s="1787"/>
      <c r="Q11" s="1787"/>
      <c r="R11" s="1787"/>
      <c r="S11" s="1787"/>
      <c r="T11" s="1787"/>
      <c r="U11" s="1788"/>
    </row>
    <row r="12" spans="1:21" s="11" customFormat="1" ht="14.25" customHeight="1" x14ac:dyDescent="0.2">
      <c r="A12" s="1789" t="s">
        <v>45</v>
      </c>
      <c r="B12" s="1790"/>
      <c r="C12" s="1790"/>
      <c r="D12" s="1790"/>
      <c r="E12" s="1790"/>
      <c r="F12" s="1790"/>
      <c r="G12" s="1790"/>
      <c r="H12" s="1790"/>
      <c r="I12" s="1790"/>
      <c r="J12" s="1790"/>
      <c r="K12" s="1790"/>
      <c r="L12" s="1790"/>
      <c r="M12" s="1790"/>
      <c r="N12" s="1790"/>
      <c r="O12" s="1790"/>
      <c r="P12" s="1790"/>
      <c r="Q12" s="1790"/>
      <c r="R12" s="1790"/>
      <c r="S12" s="1790"/>
      <c r="T12" s="1790"/>
      <c r="U12" s="1791"/>
    </row>
    <row r="13" spans="1:21" ht="15" customHeight="1" x14ac:dyDescent="0.2">
      <c r="A13" s="24" t="s">
        <v>5</v>
      </c>
      <c r="B13" s="1768" t="s">
        <v>61</v>
      </c>
      <c r="C13" s="1769"/>
      <c r="D13" s="1769"/>
      <c r="E13" s="1769"/>
      <c r="F13" s="1769"/>
      <c r="G13" s="1769"/>
      <c r="H13" s="1769"/>
      <c r="I13" s="1769"/>
      <c r="J13" s="1769"/>
      <c r="K13" s="1769"/>
      <c r="L13" s="1769"/>
      <c r="M13" s="1769"/>
      <c r="N13" s="1769"/>
      <c r="O13" s="1769"/>
      <c r="P13" s="1769"/>
      <c r="Q13" s="1769"/>
      <c r="R13" s="1769"/>
      <c r="S13" s="1769"/>
      <c r="T13" s="1769"/>
      <c r="U13" s="1770"/>
    </row>
    <row r="14" spans="1:21" ht="15.75" customHeight="1" x14ac:dyDescent="0.2">
      <c r="A14" s="36" t="s">
        <v>5</v>
      </c>
      <c r="B14" s="37" t="s">
        <v>5</v>
      </c>
      <c r="C14" s="1771" t="s">
        <v>41</v>
      </c>
      <c r="D14" s="1772"/>
      <c r="E14" s="1772"/>
      <c r="F14" s="1772"/>
      <c r="G14" s="1772"/>
      <c r="H14" s="1772"/>
      <c r="I14" s="1772"/>
      <c r="J14" s="1772"/>
      <c r="K14" s="1772"/>
      <c r="L14" s="1772"/>
      <c r="M14" s="1772"/>
      <c r="N14" s="1772"/>
      <c r="O14" s="1772"/>
      <c r="P14" s="1772"/>
      <c r="Q14" s="1772"/>
      <c r="R14" s="1772"/>
      <c r="S14" s="1772"/>
      <c r="T14" s="1772"/>
      <c r="U14" s="1773"/>
    </row>
    <row r="15" spans="1:21" ht="14.25" customHeight="1" x14ac:dyDescent="0.2">
      <c r="A15" s="659" t="s">
        <v>5</v>
      </c>
      <c r="B15" s="660" t="s">
        <v>5</v>
      </c>
      <c r="C15" s="661" t="s">
        <v>5</v>
      </c>
      <c r="D15" s="2002" t="s">
        <v>86</v>
      </c>
      <c r="E15" s="167" t="s">
        <v>260</v>
      </c>
      <c r="F15" s="653" t="s">
        <v>27</v>
      </c>
      <c r="G15" s="23" t="s">
        <v>24</v>
      </c>
      <c r="H15" s="125">
        <f>748.2+8.4</f>
        <v>756.6</v>
      </c>
      <c r="I15" s="125">
        <f>748.2+8.4</f>
        <v>756.6</v>
      </c>
      <c r="J15" s="569"/>
      <c r="K15" s="675">
        <f>1424.5-100</f>
        <v>1324.5</v>
      </c>
      <c r="L15" s="125">
        <f>1424.5-100</f>
        <v>1324.5</v>
      </c>
      <c r="M15" s="569"/>
      <c r="N15" s="675">
        <f>1622.5-100</f>
        <v>1522.5</v>
      </c>
      <c r="O15" s="125">
        <f>1622.5-100</f>
        <v>1522.5</v>
      </c>
      <c r="P15" s="569"/>
      <c r="Q15" s="236"/>
      <c r="R15" s="129"/>
      <c r="S15" s="129"/>
      <c r="T15" s="416"/>
      <c r="U15" s="253"/>
    </row>
    <row r="16" spans="1:21" ht="22.5" customHeight="1" x14ac:dyDescent="0.2">
      <c r="A16" s="659"/>
      <c r="B16" s="660"/>
      <c r="C16" s="661"/>
      <c r="D16" s="2003"/>
      <c r="E16" s="594"/>
      <c r="F16" s="198"/>
      <c r="G16" s="35" t="s">
        <v>58</v>
      </c>
      <c r="H16" s="675">
        <v>900.2</v>
      </c>
      <c r="I16" s="689">
        <v>900.2</v>
      </c>
      <c r="J16" s="569"/>
      <c r="K16" s="675"/>
      <c r="L16" s="689"/>
      <c r="M16" s="569"/>
      <c r="N16" s="675"/>
      <c r="O16" s="689"/>
      <c r="P16" s="569"/>
      <c r="Q16" s="236"/>
      <c r="R16" s="341"/>
      <c r="S16" s="129"/>
      <c r="T16" s="129"/>
      <c r="U16" s="354"/>
    </row>
    <row r="17" spans="1:21" ht="15" customHeight="1" x14ac:dyDescent="0.2">
      <c r="A17" s="659"/>
      <c r="B17" s="660"/>
      <c r="C17" s="661"/>
      <c r="D17" s="1679" t="s">
        <v>99</v>
      </c>
      <c r="E17" s="667"/>
      <c r="F17" s="696"/>
      <c r="G17" s="53"/>
      <c r="H17" s="93"/>
      <c r="I17" s="125"/>
      <c r="J17" s="132"/>
      <c r="K17" s="109"/>
      <c r="L17" s="125"/>
      <c r="M17" s="109"/>
      <c r="N17" s="93"/>
      <c r="O17" s="125"/>
      <c r="P17" s="132"/>
      <c r="Q17" s="617" t="s">
        <v>192</v>
      </c>
      <c r="R17" s="618">
        <v>3.9</v>
      </c>
      <c r="S17" s="619">
        <v>3.9</v>
      </c>
      <c r="T17" s="619">
        <v>3.9</v>
      </c>
      <c r="U17" s="788"/>
    </row>
    <row r="18" spans="1:21" ht="15" customHeight="1" x14ac:dyDescent="0.2">
      <c r="A18" s="659"/>
      <c r="B18" s="660"/>
      <c r="C18" s="661"/>
      <c r="D18" s="1680"/>
      <c r="E18" s="667"/>
      <c r="F18" s="696"/>
      <c r="G18" s="23"/>
      <c r="H18" s="675"/>
      <c r="I18" s="689"/>
      <c r="J18" s="569"/>
      <c r="K18" s="86"/>
      <c r="L18" s="689"/>
      <c r="M18" s="86"/>
      <c r="N18" s="675"/>
      <c r="O18" s="689"/>
      <c r="P18" s="569"/>
      <c r="Q18" s="663" t="s">
        <v>257</v>
      </c>
      <c r="R18" s="252">
        <v>341</v>
      </c>
      <c r="S18" s="574">
        <v>353</v>
      </c>
      <c r="T18" s="574">
        <v>353</v>
      </c>
      <c r="U18" s="425"/>
    </row>
    <row r="19" spans="1:21" ht="14.1" customHeight="1" x14ac:dyDescent="0.2">
      <c r="A19" s="1683"/>
      <c r="B19" s="1684"/>
      <c r="C19" s="1724"/>
      <c r="D19" s="1679" t="s">
        <v>30</v>
      </c>
      <c r="E19" s="1998" t="s">
        <v>89</v>
      </c>
      <c r="F19" s="2001"/>
      <c r="G19" s="575"/>
      <c r="H19" s="93"/>
      <c r="I19" s="125"/>
      <c r="J19" s="132"/>
      <c r="K19" s="109"/>
      <c r="L19" s="125"/>
      <c r="M19" s="109"/>
      <c r="N19" s="93"/>
      <c r="O19" s="125"/>
      <c r="P19" s="132"/>
      <c r="Q19" s="700" t="s">
        <v>32</v>
      </c>
      <c r="R19" s="33">
        <v>4</v>
      </c>
      <c r="S19" s="410">
        <v>4</v>
      </c>
      <c r="T19" s="118">
        <v>4</v>
      </c>
      <c r="U19" s="471"/>
    </row>
    <row r="20" spans="1:21" ht="14.1" customHeight="1" x14ac:dyDescent="0.2">
      <c r="A20" s="1683"/>
      <c r="B20" s="1684"/>
      <c r="C20" s="1724"/>
      <c r="D20" s="1680"/>
      <c r="E20" s="1999"/>
      <c r="F20" s="2001"/>
      <c r="G20" s="703"/>
      <c r="H20" s="675"/>
      <c r="I20" s="689"/>
      <c r="J20" s="569"/>
      <c r="K20" s="86"/>
      <c r="L20" s="689"/>
      <c r="M20" s="86"/>
      <c r="N20" s="675"/>
      <c r="O20" s="689"/>
      <c r="P20" s="569"/>
      <c r="Q20" s="699" t="s">
        <v>76</v>
      </c>
      <c r="R20" s="67">
        <v>3</v>
      </c>
      <c r="S20" s="691">
        <v>3</v>
      </c>
      <c r="T20" s="117">
        <v>6</v>
      </c>
      <c r="U20" s="471"/>
    </row>
    <row r="21" spans="1:21" ht="14.1" customHeight="1" x14ac:dyDescent="0.2">
      <c r="A21" s="1683"/>
      <c r="B21" s="1684"/>
      <c r="C21" s="1724"/>
      <c r="D21" s="1680"/>
      <c r="E21" s="1999"/>
      <c r="F21" s="2001"/>
      <c r="G21" s="703"/>
      <c r="H21" s="675"/>
      <c r="I21" s="689"/>
      <c r="J21" s="569"/>
      <c r="K21" s="86"/>
      <c r="L21" s="689"/>
      <c r="M21" s="86"/>
      <c r="N21" s="675"/>
      <c r="O21" s="689"/>
      <c r="P21" s="569"/>
      <c r="Q21" s="699" t="s">
        <v>313</v>
      </c>
      <c r="R21" s="67">
        <v>1</v>
      </c>
      <c r="S21" s="67"/>
      <c r="T21" s="117"/>
      <c r="U21" s="471"/>
    </row>
    <row r="22" spans="1:21" ht="14.1" customHeight="1" x14ac:dyDescent="0.2">
      <c r="A22" s="1683"/>
      <c r="B22" s="1684"/>
      <c r="C22" s="1724"/>
      <c r="D22" s="1680"/>
      <c r="E22" s="1999"/>
      <c r="F22" s="1963"/>
      <c r="G22" s="703"/>
      <c r="H22" s="675"/>
      <c r="I22" s="689"/>
      <c r="J22" s="569"/>
      <c r="K22" s="86"/>
      <c r="L22" s="689"/>
      <c r="M22" s="86"/>
      <c r="N22" s="675"/>
      <c r="O22" s="689"/>
      <c r="P22" s="569"/>
      <c r="Q22" s="699" t="s">
        <v>214</v>
      </c>
      <c r="R22" s="67"/>
      <c r="S22" s="67">
        <v>3</v>
      </c>
      <c r="T22" s="117"/>
      <c r="U22" s="471"/>
    </row>
    <row r="23" spans="1:21" ht="14.25" customHeight="1" x14ac:dyDescent="0.2">
      <c r="A23" s="1683"/>
      <c r="B23" s="1684"/>
      <c r="C23" s="1724"/>
      <c r="D23" s="1680"/>
      <c r="E23" s="1999"/>
      <c r="F23" s="1963"/>
      <c r="G23" s="703"/>
      <c r="H23" s="675"/>
      <c r="I23" s="689"/>
      <c r="J23" s="569"/>
      <c r="K23" s="86"/>
      <c r="L23" s="689"/>
      <c r="M23" s="86"/>
      <c r="N23" s="675"/>
      <c r="O23" s="689"/>
      <c r="P23" s="569"/>
      <c r="Q23" s="2010" t="s">
        <v>284</v>
      </c>
      <c r="R23" s="117">
        <v>100</v>
      </c>
      <c r="S23" s="117"/>
      <c r="T23" s="117"/>
      <c r="U23" s="471"/>
    </row>
    <row r="24" spans="1:21" ht="13.5" customHeight="1" x14ac:dyDescent="0.2">
      <c r="A24" s="1683"/>
      <c r="B24" s="1684"/>
      <c r="C24" s="1724"/>
      <c r="D24" s="1725"/>
      <c r="E24" s="2000"/>
      <c r="F24" s="1963"/>
      <c r="G24" s="248"/>
      <c r="H24" s="523"/>
      <c r="I24" s="524"/>
      <c r="J24" s="131"/>
      <c r="K24" s="85"/>
      <c r="L24" s="524"/>
      <c r="M24" s="85"/>
      <c r="N24" s="523"/>
      <c r="O24" s="524"/>
      <c r="P24" s="131"/>
      <c r="Q24" s="1682"/>
      <c r="R24" s="119"/>
      <c r="S24" s="119"/>
      <c r="T24" s="119"/>
      <c r="U24" s="471"/>
    </row>
    <row r="25" spans="1:21" ht="13.5" customHeight="1" x14ac:dyDescent="0.2">
      <c r="A25" s="659"/>
      <c r="B25" s="660"/>
      <c r="C25" s="661"/>
      <c r="D25" s="1679" t="s">
        <v>31</v>
      </c>
      <c r="E25" s="2012"/>
      <c r="F25" s="653"/>
      <c r="G25" s="703"/>
      <c r="H25" s="675"/>
      <c r="I25" s="689"/>
      <c r="J25" s="569"/>
      <c r="K25" s="675"/>
      <c r="L25" s="689"/>
      <c r="M25" s="86"/>
      <c r="N25" s="675"/>
      <c r="O25" s="689"/>
      <c r="P25" s="569"/>
      <c r="Q25" s="615" t="s">
        <v>154</v>
      </c>
      <c r="R25" s="534"/>
      <c r="S25" s="497"/>
      <c r="T25" s="497"/>
      <c r="U25" s="471"/>
    </row>
    <row r="26" spans="1:21" ht="24.75" customHeight="1" x14ac:dyDescent="0.2">
      <c r="A26" s="659"/>
      <c r="B26" s="660"/>
      <c r="C26" s="661"/>
      <c r="D26" s="2011"/>
      <c r="E26" s="1973"/>
      <c r="F26" s="653"/>
      <c r="G26" s="703"/>
      <c r="H26" s="675"/>
      <c r="I26" s="689"/>
      <c r="J26" s="569"/>
      <c r="K26" s="86"/>
      <c r="L26" s="689"/>
      <c r="M26" s="86"/>
      <c r="N26" s="675"/>
      <c r="O26" s="689"/>
      <c r="P26" s="569"/>
      <c r="Q26" s="699" t="s">
        <v>155</v>
      </c>
      <c r="R26" s="691">
        <v>87</v>
      </c>
      <c r="S26" s="117">
        <v>87</v>
      </c>
      <c r="T26" s="117">
        <v>87</v>
      </c>
      <c r="U26" s="471"/>
    </row>
    <row r="27" spans="1:21" ht="25.5" customHeight="1" x14ac:dyDescent="0.2">
      <c r="A27" s="659"/>
      <c r="B27" s="660"/>
      <c r="C27" s="661"/>
      <c r="D27" s="2011"/>
      <c r="E27" s="1973"/>
      <c r="F27" s="653"/>
      <c r="G27" s="703"/>
      <c r="H27" s="675"/>
      <c r="I27" s="689"/>
      <c r="J27" s="569"/>
      <c r="K27" s="86"/>
      <c r="L27" s="689"/>
      <c r="M27" s="86"/>
      <c r="N27" s="675"/>
      <c r="O27" s="689"/>
      <c r="P27" s="569"/>
      <c r="Q27" s="593" t="s">
        <v>136</v>
      </c>
      <c r="R27" s="616">
        <v>63</v>
      </c>
      <c r="S27" s="470">
        <v>63</v>
      </c>
      <c r="T27" s="470">
        <v>63</v>
      </c>
      <c r="U27" s="471"/>
    </row>
    <row r="28" spans="1:21" ht="15" customHeight="1" x14ac:dyDescent="0.2">
      <c r="A28" s="659"/>
      <c r="B28" s="660"/>
      <c r="C28" s="661"/>
      <c r="D28" s="2011"/>
      <c r="E28" s="1973"/>
      <c r="F28" s="653"/>
      <c r="G28" s="703"/>
      <c r="H28" s="675"/>
      <c r="I28" s="689"/>
      <c r="J28" s="569"/>
      <c r="K28" s="86"/>
      <c r="L28" s="689"/>
      <c r="M28" s="86"/>
      <c r="N28" s="675"/>
      <c r="O28" s="689"/>
      <c r="P28" s="569"/>
      <c r="Q28" s="287" t="s">
        <v>156</v>
      </c>
      <c r="R28" s="284"/>
      <c r="S28" s="417"/>
      <c r="T28" s="417"/>
      <c r="U28" s="2059"/>
    </row>
    <row r="29" spans="1:21" ht="13.5" customHeight="1" x14ac:dyDescent="0.2">
      <c r="A29" s="659"/>
      <c r="B29" s="660"/>
      <c r="C29" s="661"/>
      <c r="D29" s="167"/>
      <c r="E29" s="1973"/>
      <c r="F29" s="653"/>
      <c r="G29" s="703"/>
      <c r="H29" s="675"/>
      <c r="I29" s="689"/>
      <c r="J29" s="569"/>
      <c r="K29" s="86"/>
      <c r="L29" s="689"/>
      <c r="M29" s="86"/>
      <c r="N29" s="675"/>
      <c r="O29" s="689"/>
      <c r="P29" s="569"/>
      <c r="Q29" s="838" t="s">
        <v>96</v>
      </c>
      <c r="R29" s="67">
        <v>10</v>
      </c>
      <c r="S29" s="117">
        <v>10</v>
      </c>
      <c r="T29" s="117">
        <v>10</v>
      </c>
      <c r="U29" s="2059"/>
    </row>
    <row r="30" spans="1:21" ht="13.5" customHeight="1" x14ac:dyDescent="0.2">
      <c r="A30" s="659"/>
      <c r="B30" s="660"/>
      <c r="C30" s="661"/>
      <c r="D30" s="167"/>
      <c r="E30" s="1973"/>
      <c r="F30" s="653"/>
      <c r="G30" s="703"/>
      <c r="H30" s="675"/>
      <c r="I30" s="689"/>
      <c r="J30" s="569"/>
      <c r="K30" s="86"/>
      <c r="L30" s="689"/>
      <c r="M30" s="86"/>
      <c r="N30" s="675"/>
      <c r="O30" s="689"/>
      <c r="P30" s="569"/>
      <c r="Q30" s="833" t="s">
        <v>33</v>
      </c>
      <c r="R30" s="31" t="s">
        <v>215</v>
      </c>
      <c r="S30" s="222" t="s">
        <v>215</v>
      </c>
      <c r="T30" s="222" t="s">
        <v>215</v>
      </c>
      <c r="U30" s="2059"/>
    </row>
    <row r="31" spans="1:21" ht="13.5" customHeight="1" x14ac:dyDescent="0.2">
      <c r="A31" s="659"/>
      <c r="B31" s="660"/>
      <c r="C31" s="661"/>
      <c r="D31" s="167"/>
      <c r="E31" s="1973"/>
      <c r="F31" s="653"/>
      <c r="G31" s="703"/>
      <c r="H31" s="675"/>
      <c r="I31" s="689"/>
      <c r="J31" s="569"/>
      <c r="K31" s="86"/>
      <c r="L31" s="689"/>
      <c r="M31" s="86"/>
      <c r="N31" s="675"/>
      <c r="O31" s="689"/>
      <c r="P31" s="569"/>
      <c r="Q31" s="833" t="s">
        <v>75</v>
      </c>
      <c r="R31" s="31" t="s">
        <v>258</v>
      </c>
      <c r="S31" s="222" t="s">
        <v>258</v>
      </c>
      <c r="T31" s="222" t="s">
        <v>258</v>
      </c>
      <c r="U31" s="2059"/>
    </row>
    <row r="32" spans="1:21" ht="13.5" customHeight="1" x14ac:dyDescent="0.2">
      <c r="A32" s="659"/>
      <c r="B32" s="660"/>
      <c r="C32" s="661"/>
      <c r="D32" s="167"/>
      <c r="E32" s="1973"/>
      <c r="F32" s="653"/>
      <c r="G32" s="703"/>
      <c r="H32" s="675"/>
      <c r="I32" s="689"/>
      <c r="J32" s="569"/>
      <c r="K32" s="86"/>
      <c r="L32" s="689"/>
      <c r="M32" s="86"/>
      <c r="N32" s="675"/>
      <c r="O32" s="689"/>
      <c r="P32" s="569"/>
      <c r="Q32" s="833" t="s">
        <v>216</v>
      </c>
      <c r="R32" s="31" t="s">
        <v>152</v>
      </c>
      <c r="S32" s="222" t="s">
        <v>152</v>
      </c>
      <c r="T32" s="222" t="s">
        <v>152</v>
      </c>
      <c r="U32" s="2059"/>
    </row>
    <row r="33" spans="1:53" ht="13.5" customHeight="1" x14ac:dyDescent="0.2">
      <c r="A33" s="659"/>
      <c r="B33" s="660"/>
      <c r="C33" s="661"/>
      <c r="D33" s="167"/>
      <c r="E33" s="1973"/>
      <c r="F33" s="653"/>
      <c r="G33" s="703"/>
      <c r="H33" s="675"/>
      <c r="I33" s="689"/>
      <c r="J33" s="569"/>
      <c r="K33" s="86"/>
      <c r="L33" s="689"/>
      <c r="M33" s="86"/>
      <c r="N33" s="675"/>
      <c r="O33" s="689"/>
      <c r="P33" s="569"/>
      <c r="Q33" s="5" t="s">
        <v>204</v>
      </c>
      <c r="R33" s="31" t="s">
        <v>200</v>
      </c>
      <c r="S33" s="222" t="s">
        <v>200</v>
      </c>
      <c r="T33" s="222" t="s">
        <v>200</v>
      </c>
      <c r="U33" s="2059"/>
    </row>
    <row r="34" spans="1:53" s="8" customFormat="1" ht="13.5" customHeight="1" x14ac:dyDescent="0.2">
      <c r="A34" s="659"/>
      <c r="B34" s="660"/>
      <c r="C34" s="661"/>
      <c r="D34" s="167"/>
      <c r="E34" s="1973"/>
      <c r="F34" s="653"/>
      <c r="G34" s="703"/>
      <c r="H34" s="675"/>
      <c r="I34" s="689"/>
      <c r="J34" s="569"/>
      <c r="K34" s="86"/>
      <c r="L34" s="689"/>
      <c r="M34" s="86"/>
      <c r="N34" s="675"/>
      <c r="O34" s="689"/>
      <c r="P34" s="569"/>
      <c r="Q34" s="892" t="s">
        <v>217</v>
      </c>
      <c r="R34" s="31" t="s">
        <v>218</v>
      </c>
      <c r="S34" s="222" t="s">
        <v>218</v>
      </c>
      <c r="T34" s="222" t="s">
        <v>218</v>
      </c>
      <c r="U34" s="2059"/>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row>
    <row r="35" spans="1:53" s="8" customFormat="1" ht="16.5" customHeight="1" x14ac:dyDescent="0.2">
      <c r="A35" s="834"/>
      <c r="B35" s="835"/>
      <c r="C35" s="837"/>
      <c r="D35" s="167"/>
      <c r="E35" s="1973"/>
      <c r="F35" s="836"/>
      <c r="G35" s="839"/>
      <c r="H35" s="675"/>
      <c r="I35" s="689"/>
      <c r="J35" s="569"/>
      <c r="K35" s="86"/>
      <c r="L35" s="689"/>
      <c r="M35" s="86"/>
      <c r="N35" s="675"/>
      <c r="O35" s="689"/>
      <c r="P35" s="569"/>
      <c r="Q35" s="892" t="s">
        <v>321</v>
      </c>
      <c r="R35" s="31" t="s">
        <v>50</v>
      </c>
      <c r="S35" s="222"/>
      <c r="T35" s="222"/>
      <c r="U35" s="2059"/>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row>
    <row r="36" spans="1:53" s="8" customFormat="1" ht="15.75" customHeight="1" x14ac:dyDescent="0.2">
      <c r="A36" s="659"/>
      <c r="B36" s="660"/>
      <c r="C36" s="661"/>
      <c r="D36" s="167"/>
      <c r="E36" s="1973"/>
      <c r="F36" s="653"/>
      <c r="G36" s="703"/>
      <c r="H36" s="675"/>
      <c r="I36" s="689"/>
      <c r="J36" s="569"/>
      <c r="K36" s="86"/>
      <c r="L36" s="689"/>
      <c r="M36" s="86"/>
      <c r="N36" s="675"/>
      <c r="O36" s="689"/>
      <c r="P36" s="569"/>
      <c r="Q36" s="595" t="s">
        <v>157</v>
      </c>
      <c r="R36" s="206"/>
      <c r="S36" s="417"/>
      <c r="T36" s="417"/>
      <c r="U36" s="286"/>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row>
    <row r="37" spans="1:53" s="8" customFormat="1" ht="15" customHeight="1" x14ac:dyDescent="0.2">
      <c r="A37" s="659"/>
      <c r="B37" s="660"/>
      <c r="C37" s="661"/>
      <c r="D37" s="167"/>
      <c r="E37" s="1973"/>
      <c r="F37" s="653"/>
      <c r="G37" s="703"/>
      <c r="H37" s="675"/>
      <c r="I37" s="689"/>
      <c r="J37" s="569"/>
      <c r="K37" s="86"/>
      <c r="L37" s="689"/>
      <c r="M37" s="86"/>
      <c r="N37" s="675"/>
      <c r="O37" s="689"/>
      <c r="P37" s="569"/>
      <c r="Q37" s="692" t="s">
        <v>138</v>
      </c>
      <c r="R37" s="123">
        <v>11</v>
      </c>
      <c r="S37" s="332">
        <v>11</v>
      </c>
      <c r="T37" s="332">
        <v>11</v>
      </c>
      <c r="U37" s="289"/>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row>
    <row r="38" spans="1:53" s="8" customFormat="1" ht="13.5" customHeight="1" x14ac:dyDescent="0.2">
      <c r="A38" s="659"/>
      <c r="B38" s="660"/>
      <c r="C38" s="661"/>
      <c r="D38" s="167"/>
      <c r="E38" s="1973"/>
      <c r="F38" s="653"/>
      <c r="G38" s="703"/>
      <c r="H38" s="675"/>
      <c r="I38" s="689"/>
      <c r="J38" s="569"/>
      <c r="K38" s="86"/>
      <c r="L38" s="689"/>
      <c r="M38" s="86"/>
      <c r="N38" s="675"/>
      <c r="O38" s="689"/>
      <c r="P38" s="569"/>
      <c r="Q38" s="701" t="s">
        <v>137</v>
      </c>
      <c r="R38" s="165" t="s">
        <v>122</v>
      </c>
      <c r="S38" s="257" t="s">
        <v>122</v>
      </c>
      <c r="T38" s="257" t="s">
        <v>122</v>
      </c>
      <c r="U38" s="286"/>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row>
    <row r="39" spans="1:53" s="8" customFormat="1" ht="15" customHeight="1" x14ac:dyDescent="0.2">
      <c r="A39" s="659"/>
      <c r="B39" s="660"/>
      <c r="C39" s="661"/>
      <c r="D39" s="167"/>
      <c r="E39" s="1973"/>
      <c r="F39" s="653"/>
      <c r="G39" s="703"/>
      <c r="H39" s="675"/>
      <c r="I39" s="689"/>
      <c r="J39" s="569"/>
      <c r="K39" s="86"/>
      <c r="L39" s="689"/>
      <c r="M39" s="86"/>
      <c r="N39" s="675"/>
      <c r="O39" s="689"/>
      <c r="P39" s="569"/>
      <c r="Q39" s="287" t="s">
        <v>285</v>
      </c>
      <c r="R39" s="288"/>
      <c r="S39" s="332"/>
      <c r="T39" s="332"/>
      <c r="U39" s="289"/>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row>
    <row r="40" spans="1:53" s="8" customFormat="1" ht="26.25" customHeight="1" x14ac:dyDescent="0.2">
      <c r="A40" s="659"/>
      <c r="B40" s="660"/>
      <c r="C40" s="661"/>
      <c r="D40" s="167"/>
      <c r="E40" s="1973"/>
      <c r="F40" s="653"/>
      <c r="G40" s="703"/>
      <c r="H40" s="675"/>
      <c r="I40" s="689"/>
      <c r="J40" s="569"/>
      <c r="K40" s="86"/>
      <c r="L40" s="689"/>
      <c r="M40" s="86"/>
      <c r="N40" s="675"/>
      <c r="O40" s="689"/>
      <c r="P40" s="569"/>
      <c r="Q40" s="688" t="s">
        <v>277</v>
      </c>
      <c r="R40" s="288"/>
      <c r="S40" s="332">
        <v>150</v>
      </c>
      <c r="T40" s="332"/>
      <c r="U40" s="289"/>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row>
    <row r="41" spans="1:53" s="8" customFormat="1" ht="27.75" customHeight="1" x14ac:dyDescent="0.2">
      <c r="A41" s="659"/>
      <c r="B41" s="660"/>
      <c r="C41" s="661"/>
      <c r="D41" s="167"/>
      <c r="E41" s="1973"/>
      <c r="F41" s="653"/>
      <c r="G41" s="703"/>
      <c r="H41" s="675"/>
      <c r="I41" s="689"/>
      <c r="J41" s="569"/>
      <c r="K41" s="86"/>
      <c r="L41" s="689"/>
      <c r="M41" s="86"/>
      <c r="N41" s="675"/>
      <c r="O41" s="689"/>
      <c r="P41" s="569"/>
      <c r="Q41" s="688" t="s">
        <v>279</v>
      </c>
      <c r="R41" s="288"/>
      <c r="S41" s="648">
        <v>7.5</v>
      </c>
      <c r="T41" s="332"/>
      <c r="U41" s="289"/>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row>
    <row r="42" spans="1:53" s="8" customFormat="1" ht="13.5" customHeight="1" x14ac:dyDescent="0.2">
      <c r="A42" s="659"/>
      <c r="B42" s="660"/>
      <c r="C42" s="661"/>
      <c r="D42" s="167"/>
      <c r="E42" s="1973"/>
      <c r="F42" s="653"/>
      <c r="G42" s="703"/>
      <c r="H42" s="675"/>
      <c r="I42" s="689"/>
      <c r="J42" s="569"/>
      <c r="K42" s="86"/>
      <c r="L42" s="689"/>
      <c r="M42" s="86"/>
      <c r="N42" s="675"/>
      <c r="O42" s="689"/>
      <c r="P42" s="569"/>
      <c r="Q42" s="42" t="s">
        <v>183</v>
      </c>
      <c r="R42" s="165">
        <v>1</v>
      </c>
      <c r="S42" s="257">
        <v>1</v>
      </c>
      <c r="T42" s="257">
        <v>1</v>
      </c>
      <c r="U42" s="286"/>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row>
    <row r="43" spans="1:53" s="8" customFormat="1" ht="30" customHeight="1" x14ac:dyDescent="0.2">
      <c r="A43" s="659"/>
      <c r="B43" s="660"/>
      <c r="C43" s="661"/>
      <c r="D43" s="168"/>
      <c r="E43" s="2013"/>
      <c r="F43" s="653"/>
      <c r="G43" s="703"/>
      <c r="H43" s="675"/>
      <c r="I43" s="689"/>
      <c r="J43" s="569"/>
      <c r="K43" s="86"/>
      <c r="L43" s="689"/>
      <c r="M43" s="86"/>
      <c r="N43" s="675"/>
      <c r="O43" s="689"/>
      <c r="P43" s="569"/>
      <c r="Q43" s="683" t="s">
        <v>269</v>
      </c>
      <c r="R43" s="339">
        <v>2</v>
      </c>
      <c r="S43" s="596"/>
      <c r="T43" s="418"/>
      <c r="U43" s="289"/>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row>
    <row r="44" spans="1:53" s="8" customFormat="1" ht="25.5" customHeight="1" x14ac:dyDescent="0.2">
      <c r="A44" s="659"/>
      <c r="B44" s="660"/>
      <c r="C44" s="696"/>
      <c r="D44" s="1680" t="s">
        <v>126</v>
      </c>
      <c r="E44" s="2014" t="s">
        <v>129</v>
      </c>
      <c r="F44" s="653"/>
      <c r="G44" s="53"/>
      <c r="H44" s="93"/>
      <c r="I44" s="125"/>
      <c r="J44" s="132"/>
      <c r="K44" s="109"/>
      <c r="L44" s="125"/>
      <c r="M44" s="109"/>
      <c r="N44" s="93"/>
      <c r="O44" s="125"/>
      <c r="P44" s="132"/>
      <c r="Q44" s="687" t="s">
        <v>140</v>
      </c>
      <c r="R44" s="153">
        <v>100</v>
      </c>
      <c r="S44" s="597"/>
      <c r="T44" s="145"/>
      <c r="U44" s="22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row>
    <row r="45" spans="1:53" s="8" customFormat="1" ht="9" customHeight="1" x14ac:dyDescent="0.2">
      <c r="A45" s="659"/>
      <c r="B45" s="660"/>
      <c r="C45" s="696"/>
      <c r="D45" s="1680"/>
      <c r="E45" s="2015"/>
      <c r="F45" s="653"/>
      <c r="G45" s="54"/>
      <c r="H45" s="523"/>
      <c r="I45" s="524"/>
      <c r="J45" s="131"/>
      <c r="K45" s="85"/>
      <c r="L45" s="524"/>
      <c r="M45" s="85"/>
      <c r="N45" s="523"/>
      <c r="O45" s="524"/>
      <c r="P45" s="131"/>
      <c r="Q45" s="693"/>
      <c r="R45" s="154"/>
      <c r="S45" s="598"/>
      <c r="T45" s="145"/>
      <c r="U45" s="22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row>
    <row r="46" spans="1:53" s="8" customFormat="1" ht="26.25" customHeight="1" x14ac:dyDescent="0.2">
      <c r="A46" s="659"/>
      <c r="B46" s="660"/>
      <c r="C46" s="61"/>
      <c r="D46" s="1679" t="s">
        <v>119</v>
      </c>
      <c r="E46" s="2015"/>
      <c r="F46" s="2016"/>
      <c r="G46" s="23" t="s">
        <v>24</v>
      </c>
      <c r="H46" s="675"/>
      <c r="I46" s="772">
        <v>-12.9</v>
      </c>
      <c r="J46" s="779">
        <f>I46-H46</f>
        <v>-12.9</v>
      </c>
      <c r="K46" s="86"/>
      <c r="L46" s="772">
        <v>200</v>
      </c>
      <c r="M46" s="773">
        <f>L46-K46</f>
        <v>200</v>
      </c>
      <c r="N46" s="675"/>
      <c r="O46" s="689"/>
      <c r="P46" s="569"/>
      <c r="Q46" s="655" t="s">
        <v>87</v>
      </c>
      <c r="R46" s="152">
        <v>1</v>
      </c>
      <c r="S46" s="335"/>
      <c r="T46" s="146"/>
      <c r="U46" s="1952" t="s">
        <v>334</v>
      </c>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row>
    <row r="47" spans="1:53" s="8" customFormat="1" ht="65.25" customHeight="1" x14ac:dyDescent="0.2">
      <c r="A47" s="659"/>
      <c r="B47" s="660"/>
      <c r="C47" s="661"/>
      <c r="D47" s="1725"/>
      <c r="E47" s="2015"/>
      <c r="F47" s="2016"/>
      <c r="G47" s="703" t="s">
        <v>58</v>
      </c>
      <c r="H47" s="675"/>
      <c r="I47" s="772">
        <v>-187</v>
      </c>
      <c r="J47" s="779">
        <f>I47-H47</f>
        <v>-187</v>
      </c>
      <c r="K47" s="675"/>
      <c r="L47" s="689"/>
      <c r="M47" s="86"/>
      <c r="N47" s="675"/>
      <c r="O47" s="689"/>
      <c r="P47" s="569"/>
      <c r="Q47" s="692" t="s">
        <v>140</v>
      </c>
      <c r="R47" s="944">
        <v>25</v>
      </c>
      <c r="S47" s="383">
        <v>100</v>
      </c>
      <c r="T47" s="147"/>
      <c r="U47" s="1969"/>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row>
    <row r="48" spans="1:53" s="8" customFormat="1" ht="12.75" customHeight="1" x14ac:dyDescent="0.2">
      <c r="A48" s="659"/>
      <c r="B48" s="660"/>
      <c r="C48" s="61"/>
      <c r="D48" s="1728" t="s">
        <v>103</v>
      </c>
      <c r="E48" s="2004" t="s">
        <v>94</v>
      </c>
      <c r="F48" s="2006"/>
      <c r="G48" s="53" t="s">
        <v>58</v>
      </c>
      <c r="H48" s="93"/>
      <c r="I48" s="806">
        <v>-242</v>
      </c>
      <c r="J48" s="807">
        <f>I48-H48</f>
        <v>-242</v>
      </c>
      <c r="K48" s="109"/>
      <c r="L48" s="125"/>
      <c r="M48" s="109"/>
      <c r="N48" s="93"/>
      <c r="O48" s="125"/>
      <c r="P48" s="132"/>
      <c r="Q48" s="694" t="s">
        <v>87</v>
      </c>
      <c r="R48" s="117">
        <v>1</v>
      </c>
      <c r="S48" s="145"/>
      <c r="T48" s="145"/>
      <c r="U48" s="1952" t="s">
        <v>335</v>
      </c>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row>
    <row r="49" spans="1:53" s="8" customFormat="1" ht="93" customHeight="1" x14ac:dyDescent="0.2">
      <c r="A49" s="659"/>
      <c r="B49" s="660"/>
      <c r="C49" s="661"/>
      <c r="D49" s="1699"/>
      <c r="E49" s="2005"/>
      <c r="F49" s="2006"/>
      <c r="G49" s="248"/>
      <c r="H49" s="523"/>
      <c r="I49" s="524"/>
      <c r="J49" s="131"/>
      <c r="K49" s="85"/>
      <c r="L49" s="524"/>
      <c r="M49" s="85"/>
      <c r="N49" s="523"/>
      <c r="O49" s="524"/>
      <c r="P49" s="131"/>
      <c r="Q49" s="250" t="s">
        <v>107</v>
      </c>
      <c r="R49" s="945">
        <v>20</v>
      </c>
      <c r="S49" s="946" t="s">
        <v>329</v>
      </c>
      <c r="T49" s="822" t="s">
        <v>330</v>
      </c>
      <c r="U49" s="1955"/>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row>
    <row r="50" spans="1:53" s="8" customFormat="1" ht="17.25" customHeight="1" x14ac:dyDescent="0.2">
      <c r="A50" s="659"/>
      <c r="B50" s="660"/>
      <c r="C50" s="696"/>
      <c r="D50" s="1679" t="s">
        <v>166</v>
      </c>
      <c r="E50" s="2004" t="s">
        <v>129</v>
      </c>
      <c r="F50" s="653"/>
      <c r="G50" s="23" t="s">
        <v>24</v>
      </c>
      <c r="H50" s="675"/>
      <c r="I50" s="772">
        <v>6.5</v>
      </c>
      <c r="J50" s="779">
        <f>I50-H50</f>
        <v>6.5</v>
      </c>
      <c r="K50" s="86"/>
      <c r="L50" s="689"/>
      <c r="M50" s="86"/>
      <c r="N50" s="675"/>
      <c r="O50" s="689"/>
      <c r="P50" s="569"/>
      <c r="Q50" s="2009" t="s">
        <v>140</v>
      </c>
      <c r="R50" s="153">
        <v>100</v>
      </c>
      <c r="S50" s="400"/>
      <c r="T50" s="146"/>
      <c r="U50" s="1952" t="s">
        <v>336</v>
      </c>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row>
    <row r="51" spans="1:53" s="8" customFormat="1" ht="54.75" customHeight="1" x14ac:dyDescent="0.2">
      <c r="A51" s="659"/>
      <c r="B51" s="660"/>
      <c r="C51" s="696"/>
      <c r="D51" s="1725"/>
      <c r="E51" s="2007"/>
      <c r="F51" s="653"/>
      <c r="G51" s="23"/>
      <c r="H51" s="675"/>
      <c r="I51" s="689"/>
      <c r="J51" s="569"/>
      <c r="K51" s="86"/>
      <c r="L51" s="689"/>
      <c r="M51" s="86"/>
      <c r="N51" s="675"/>
      <c r="O51" s="689"/>
      <c r="P51" s="569"/>
      <c r="Q51" s="1910"/>
      <c r="R51" s="65"/>
      <c r="S51" s="383"/>
      <c r="T51" s="147"/>
      <c r="U51" s="1955"/>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row>
    <row r="52" spans="1:53" s="8" customFormat="1" ht="15" customHeight="1" x14ac:dyDescent="0.2">
      <c r="A52" s="659"/>
      <c r="B52" s="660"/>
      <c r="C52" s="61"/>
      <c r="D52" s="1728" t="s">
        <v>123</v>
      </c>
      <c r="E52" s="1974"/>
      <c r="F52" s="2006"/>
      <c r="G52" s="53"/>
      <c r="H52" s="93"/>
      <c r="I52" s="125"/>
      <c r="J52" s="132"/>
      <c r="K52" s="93"/>
      <c r="L52" s="125"/>
      <c r="M52" s="132"/>
      <c r="N52" s="109"/>
      <c r="O52" s="125"/>
      <c r="P52" s="132"/>
      <c r="Q52" s="694" t="s">
        <v>87</v>
      </c>
      <c r="R52" s="117">
        <v>1</v>
      </c>
      <c r="S52" s="146"/>
      <c r="T52" s="145"/>
      <c r="U52" s="22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row>
    <row r="53" spans="1:53" s="8" customFormat="1" ht="17.25" customHeight="1" x14ac:dyDescent="0.2">
      <c r="A53" s="659"/>
      <c r="B53" s="660"/>
      <c r="C53" s="661"/>
      <c r="D53" s="1699"/>
      <c r="E53" s="2008"/>
      <c r="F53" s="2006"/>
      <c r="G53" s="248"/>
      <c r="H53" s="523"/>
      <c r="I53" s="524"/>
      <c r="J53" s="131"/>
      <c r="K53" s="85"/>
      <c r="L53" s="524"/>
      <c r="M53" s="85"/>
      <c r="N53" s="523"/>
      <c r="O53" s="524"/>
      <c r="P53" s="131"/>
      <c r="Q53" s="250" t="s">
        <v>108</v>
      </c>
      <c r="R53" s="119"/>
      <c r="S53" s="119">
        <v>20</v>
      </c>
      <c r="T53" s="147">
        <v>100</v>
      </c>
      <c r="U53" s="22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row>
    <row r="54" spans="1:53" s="8" customFormat="1" ht="15" customHeight="1" x14ac:dyDescent="0.2">
      <c r="A54" s="659"/>
      <c r="B54" s="660"/>
      <c r="C54" s="61"/>
      <c r="D54" s="1728" t="s">
        <v>176</v>
      </c>
      <c r="E54" s="2004" t="s">
        <v>94</v>
      </c>
      <c r="F54" s="2006"/>
      <c r="G54" s="23"/>
      <c r="H54" s="675"/>
      <c r="I54" s="689"/>
      <c r="J54" s="569"/>
      <c r="K54" s="86"/>
      <c r="L54" s="689"/>
      <c r="M54" s="86"/>
      <c r="N54" s="675"/>
      <c r="O54" s="689"/>
      <c r="P54" s="569"/>
      <c r="Q54" s="655" t="s">
        <v>87</v>
      </c>
      <c r="R54" s="117">
        <v>1</v>
      </c>
      <c r="S54" s="145"/>
      <c r="T54" s="145"/>
      <c r="U54" s="22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row>
    <row r="55" spans="1:53" s="8" customFormat="1" ht="15.75" customHeight="1" x14ac:dyDescent="0.2">
      <c r="A55" s="659"/>
      <c r="B55" s="660"/>
      <c r="C55" s="661"/>
      <c r="D55" s="1699"/>
      <c r="E55" s="2005"/>
      <c r="F55" s="2006"/>
      <c r="G55" s="703"/>
      <c r="H55" s="675"/>
      <c r="I55" s="689"/>
      <c r="J55" s="569"/>
      <c r="K55" s="86"/>
      <c r="L55" s="689"/>
      <c r="M55" s="86"/>
      <c r="N55" s="675"/>
      <c r="O55" s="689"/>
      <c r="P55" s="569"/>
      <c r="Q55" s="346" t="s">
        <v>177</v>
      </c>
      <c r="R55" s="119"/>
      <c r="S55" s="147"/>
      <c r="T55" s="147"/>
      <c r="U55" s="22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row>
    <row r="56" spans="1:53" s="8" customFormat="1" ht="13.5" customHeight="1" x14ac:dyDescent="0.2">
      <c r="A56" s="659"/>
      <c r="B56" s="660"/>
      <c r="C56" s="696"/>
      <c r="D56" s="1679" t="s">
        <v>125</v>
      </c>
      <c r="E56" s="2004" t="s">
        <v>129</v>
      </c>
      <c r="F56" s="653"/>
      <c r="G56" s="53" t="s">
        <v>49</v>
      </c>
      <c r="H56" s="93"/>
      <c r="I56" s="125"/>
      <c r="J56" s="132"/>
      <c r="K56" s="109"/>
      <c r="L56" s="125"/>
      <c r="M56" s="109"/>
      <c r="N56" s="93"/>
      <c r="O56" s="125"/>
      <c r="P56" s="132"/>
      <c r="Q56" s="694" t="s">
        <v>87</v>
      </c>
      <c r="R56" s="146"/>
      <c r="S56" s="153"/>
      <c r="T56" s="146"/>
      <c r="U56" s="22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row>
    <row r="57" spans="1:53" s="8" customFormat="1" ht="26.25" customHeight="1" x14ac:dyDescent="0.2">
      <c r="A57" s="659"/>
      <c r="B57" s="660"/>
      <c r="C57" s="696"/>
      <c r="D57" s="1725"/>
      <c r="E57" s="2008"/>
      <c r="F57" s="653"/>
      <c r="G57" s="54"/>
      <c r="H57" s="523"/>
      <c r="I57" s="524"/>
      <c r="J57" s="131"/>
      <c r="K57" s="85"/>
      <c r="L57" s="524"/>
      <c r="M57" s="85"/>
      <c r="N57" s="523"/>
      <c r="O57" s="524"/>
      <c r="P57" s="131"/>
      <c r="Q57" s="250" t="s">
        <v>107</v>
      </c>
      <c r="R57" s="119"/>
      <c r="S57" s="154"/>
      <c r="T57" s="147"/>
      <c r="U57" s="22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row>
    <row r="58" spans="1:53" s="8" customFormat="1" ht="19.5" customHeight="1" x14ac:dyDescent="0.2">
      <c r="A58" s="659"/>
      <c r="B58" s="660"/>
      <c r="C58" s="661"/>
      <c r="D58" s="1680" t="s">
        <v>210</v>
      </c>
      <c r="E58" s="2004" t="s">
        <v>129</v>
      </c>
      <c r="F58" s="653"/>
      <c r="G58" s="53"/>
      <c r="H58" s="93"/>
      <c r="I58" s="125"/>
      <c r="J58" s="132"/>
      <c r="K58" s="109"/>
      <c r="L58" s="125"/>
      <c r="M58" s="109"/>
      <c r="N58" s="93"/>
      <c r="O58" s="125"/>
      <c r="P58" s="132"/>
      <c r="Q58" s="1764" t="s">
        <v>211</v>
      </c>
      <c r="R58" s="560"/>
      <c r="S58" s="176"/>
      <c r="T58" s="560">
        <v>30</v>
      </c>
      <c r="U58" s="421"/>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row>
    <row r="59" spans="1:53" s="8" customFormat="1" ht="10.5" customHeight="1" x14ac:dyDescent="0.2">
      <c r="A59" s="659"/>
      <c r="B59" s="660"/>
      <c r="C59" s="661"/>
      <c r="D59" s="1714"/>
      <c r="E59" s="2017"/>
      <c r="F59" s="653"/>
      <c r="G59" s="54"/>
      <c r="H59" s="523"/>
      <c r="I59" s="524"/>
      <c r="J59" s="131"/>
      <c r="K59" s="85"/>
      <c r="L59" s="524"/>
      <c r="M59" s="85"/>
      <c r="N59" s="523"/>
      <c r="O59" s="524"/>
      <c r="P59" s="131"/>
      <c r="Q59" s="1911"/>
      <c r="R59" s="561"/>
      <c r="S59" s="392"/>
      <c r="T59" s="561"/>
      <c r="U59" s="26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row>
    <row r="60" spans="1:53" s="8" customFormat="1" ht="16.5" customHeight="1" thickBot="1" x14ac:dyDescent="0.25">
      <c r="A60" s="671"/>
      <c r="B60" s="234"/>
      <c r="C60" s="32"/>
      <c r="D60" s="607"/>
      <c r="E60" s="608"/>
      <c r="F60" s="531"/>
      <c r="G60" s="34" t="s">
        <v>6</v>
      </c>
      <c r="H60" s="155">
        <f t="shared" ref="H60:P60" si="0">SUM(H15:H59)</f>
        <v>1656.8</v>
      </c>
      <c r="I60" s="369">
        <f>SUM(I15:I59)</f>
        <v>1221.4000000000001</v>
      </c>
      <c r="J60" s="368">
        <f t="shared" si="0"/>
        <v>-435.4</v>
      </c>
      <c r="K60" s="155">
        <f t="shared" si="0"/>
        <v>1324.5</v>
      </c>
      <c r="L60" s="369">
        <f t="shared" si="0"/>
        <v>1524.5</v>
      </c>
      <c r="M60" s="368">
        <f t="shared" si="0"/>
        <v>200</v>
      </c>
      <c r="N60" s="155">
        <f t="shared" si="0"/>
        <v>1522.5</v>
      </c>
      <c r="O60" s="369">
        <f t="shared" si="0"/>
        <v>1522.5</v>
      </c>
      <c r="P60" s="368">
        <f t="shared" si="0"/>
        <v>0</v>
      </c>
      <c r="Q60" s="195"/>
      <c r="R60" s="38"/>
      <c r="S60" s="401"/>
      <c r="T60" s="356"/>
      <c r="U60" s="357"/>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row>
    <row r="61" spans="1:53" s="8" customFormat="1" ht="12.75" customHeight="1" x14ac:dyDescent="0.2">
      <c r="A61" s="659" t="s">
        <v>5</v>
      </c>
      <c r="B61" s="665" t="s">
        <v>5</v>
      </c>
      <c r="C61" s="661" t="s">
        <v>7</v>
      </c>
      <c r="D61" s="1707" t="s">
        <v>53</v>
      </c>
      <c r="E61" s="601"/>
      <c r="F61" s="690" t="s">
        <v>27</v>
      </c>
      <c r="G61" s="159" t="s">
        <v>24</v>
      </c>
      <c r="H61" s="140">
        <v>3094.7</v>
      </c>
      <c r="I61" s="140">
        <f>3084.7+10</f>
        <v>3094.7</v>
      </c>
      <c r="J61" s="774"/>
      <c r="K61" s="111">
        <v>3102.6</v>
      </c>
      <c r="L61" s="140">
        <v>3102.6</v>
      </c>
      <c r="M61" s="110"/>
      <c r="N61" s="111">
        <v>3102.6</v>
      </c>
      <c r="O61" s="140">
        <v>3102.6</v>
      </c>
      <c r="P61" s="164"/>
      <c r="Q61" s="775"/>
      <c r="R61" s="776"/>
      <c r="S61" s="777"/>
      <c r="T61" s="778"/>
      <c r="U61" s="932"/>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row>
    <row r="62" spans="1:53" s="8" customFormat="1" ht="12.75" customHeight="1" x14ac:dyDescent="0.2">
      <c r="A62" s="760"/>
      <c r="B62" s="762"/>
      <c r="C62" s="763"/>
      <c r="D62" s="1707"/>
      <c r="E62" s="599"/>
      <c r="F62" s="761"/>
      <c r="G62" s="764" t="s">
        <v>58</v>
      </c>
      <c r="H62" s="689">
        <v>132.19999999999999</v>
      </c>
      <c r="I62" s="689">
        <v>132.19999999999999</v>
      </c>
      <c r="J62" s="773"/>
      <c r="K62" s="675"/>
      <c r="L62" s="689"/>
      <c r="M62" s="86"/>
      <c r="N62" s="675"/>
      <c r="O62" s="689"/>
      <c r="P62" s="569"/>
      <c r="Q62" s="604"/>
      <c r="R62" s="249"/>
      <c r="S62" s="228"/>
      <c r="T62" s="648"/>
      <c r="U62" s="932"/>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row>
    <row r="63" spans="1:53" s="8" customFormat="1" ht="12" customHeight="1" x14ac:dyDescent="0.2">
      <c r="A63" s="659"/>
      <c r="B63" s="665"/>
      <c r="C63" s="661"/>
      <c r="D63" s="2003"/>
      <c r="E63" s="599"/>
      <c r="F63" s="653"/>
      <c r="G63" s="703" t="s">
        <v>40</v>
      </c>
      <c r="H63" s="689">
        <v>2</v>
      </c>
      <c r="I63" s="689">
        <v>2</v>
      </c>
      <c r="J63" s="86"/>
      <c r="K63" s="675">
        <v>2</v>
      </c>
      <c r="L63" s="689">
        <v>2</v>
      </c>
      <c r="M63" s="86"/>
      <c r="N63" s="675">
        <v>2</v>
      </c>
      <c r="O63" s="689">
        <v>2</v>
      </c>
      <c r="P63" s="569"/>
      <c r="Q63" s="604"/>
      <c r="R63" s="249"/>
      <c r="S63" s="228"/>
      <c r="T63" s="648"/>
      <c r="U63" s="932"/>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row>
    <row r="64" spans="1:53" s="8" customFormat="1" ht="13.5" customHeight="1" x14ac:dyDescent="0.2">
      <c r="A64" s="659"/>
      <c r="B64" s="665"/>
      <c r="C64" s="661"/>
      <c r="D64" s="678"/>
      <c r="E64" s="599"/>
      <c r="F64" s="653"/>
      <c r="G64" s="703" t="s">
        <v>80</v>
      </c>
      <c r="H64" s="689">
        <v>1.8</v>
      </c>
      <c r="I64" s="689">
        <v>1.8</v>
      </c>
      <c r="J64" s="773"/>
      <c r="K64" s="675"/>
      <c r="L64" s="689"/>
      <c r="M64" s="86"/>
      <c r="N64" s="675"/>
      <c r="O64" s="689"/>
      <c r="P64" s="569"/>
      <c r="Q64" s="604"/>
      <c r="R64" s="249"/>
      <c r="S64" s="228"/>
      <c r="T64" s="648"/>
      <c r="U64" s="932"/>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row>
    <row r="65" spans="1:53" s="8" customFormat="1" ht="26.25" customHeight="1" x14ac:dyDescent="0.2">
      <c r="A65" s="1683"/>
      <c r="B65" s="1732"/>
      <c r="C65" s="1724"/>
      <c r="D65" s="1679" t="s">
        <v>68</v>
      </c>
      <c r="E65" s="1740"/>
      <c r="F65" s="1963"/>
      <c r="G65" s="7" t="s">
        <v>24</v>
      </c>
      <c r="H65" s="93"/>
      <c r="I65" s="125"/>
      <c r="J65" s="82"/>
      <c r="K65" s="93"/>
      <c r="L65" s="806">
        <v>-150</v>
      </c>
      <c r="M65" s="808">
        <f>L65-K65</f>
        <v>-150</v>
      </c>
      <c r="N65" s="93"/>
      <c r="O65" s="125"/>
      <c r="P65" s="132"/>
      <c r="Q65" s="586" t="s">
        <v>184</v>
      </c>
      <c r="R65" s="535">
        <v>8.6</v>
      </c>
      <c r="S65" s="536">
        <v>8.6</v>
      </c>
      <c r="T65" s="302">
        <v>8.6</v>
      </c>
      <c r="U65" s="1952" t="s">
        <v>337</v>
      </c>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row>
    <row r="66" spans="1:53" s="8" customFormat="1" ht="16.5" customHeight="1" x14ac:dyDescent="0.2">
      <c r="A66" s="1683"/>
      <c r="B66" s="1732"/>
      <c r="C66" s="1724"/>
      <c r="D66" s="2003"/>
      <c r="E66" s="1741"/>
      <c r="F66" s="1963"/>
      <c r="G66" s="703"/>
      <c r="H66" s="675"/>
      <c r="I66" s="689"/>
      <c r="J66" s="83"/>
      <c r="K66" s="675"/>
      <c r="L66" s="689"/>
      <c r="M66" s="86"/>
      <c r="N66" s="675"/>
      <c r="O66" s="689"/>
      <c r="P66" s="569"/>
      <c r="Q66" s="537" t="s">
        <v>150</v>
      </c>
      <c r="R66" s="117">
        <v>445</v>
      </c>
      <c r="S66" s="117">
        <v>445</v>
      </c>
      <c r="T66" s="117">
        <v>445</v>
      </c>
      <c r="U66" s="1970"/>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row>
    <row r="67" spans="1:53" s="8" customFormat="1" ht="13.5" customHeight="1" x14ac:dyDescent="0.2">
      <c r="A67" s="1683"/>
      <c r="B67" s="1732"/>
      <c r="C67" s="1724"/>
      <c r="D67" s="1728" t="s">
        <v>37</v>
      </c>
      <c r="E67" s="695"/>
      <c r="F67" s="653"/>
      <c r="G67" s="7"/>
      <c r="H67" s="93"/>
      <c r="I67" s="806"/>
      <c r="J67" s="842"/>
      <c r="K67" s="93"/>
      <c r="L67" s="125"/>
      <c r="M67" s="109"/>
      <c r="N67" s="93"/>
      <c r="O67" s="125"/>
      <c r="P67" s="132"/>
      <c r="Q67" s="843" t="s">
        <v>39</v>
      </c>
      <c r="R67" s="33">
        <v>46</v>
      </c>
      <c r="S67" s="410">
        <v>46</v>
      </c>
      <c r="T67" s="118">
        <v>46</v>
      </c>
      <c r="U67" s="932"/>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row>
    <row r="68" spans="1:53" s="8" customFormat="1" ht="24.75" customHeight="1" x14ac:dyDescent="0.2">
      <c r="A68" s="1683"/>
      <c r="B68" s="1732"/>
      <c r="C68" s="1724"/>
      <c r="D68" s="1698"/>
      <c r="E68" s="695"/>
      <c r="F68" s="653"/>
      <c r="G68" s="854"/>
      <c r="H68" s="675"/>
      <c r="I68" s="689"/>
      <c r="J68" s="83"/>
      <c r="K68" s="675"/>
      <c r="L68" s="689"/>
      <c r="M68" s="86"/>
      <c r="N68" s="675"/>
      <c r="O68" s="689"/>
      <c r="P68" s="569"/>
      <c r="Q68" s="869" t="s">
        <v>69</v>
      </c>
      <c r="R68" s="332">
        <v>1500</v>
      </c>
      <c r="S68" s="123">
        <v>1500</v>
      </c>
      <c r="T68" s="332">
        <v>1500</v>
      </c>
      <c r="U68" s="93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row>
    <row r="69" spans="1:53" s="8" customFormat="1" ht="42.75" customHeight="1" x14ac:dyDescent="0.2">
      <c r="A69" s="847"/>
      <c r="B69" s="849"/>
      <c r="C69" s="850"/>
      <c r="D69" s="851"/>
      <c r="E69" s="852"/>
      <c r="F69" s="848"/>
      <c r="G69" s="862"/>
      <c r="H69" s="675"/>
      <c r="I69" s="772"/>
      <c r="J69" s="866"/>
      <c r="K69" s="675"/>
      <c r="L69" s="689"/>
      <c r="M69" s="86"/>
      <c r="N69" s="675"/>
      <c r="O69" s="689"/>
      <c r="P69" s="569"/>
      <c r="Q69" s="897" t="s">
        <v>323</v>
      </c>
      <c r="R69" s="332">
        <v>1</v>
      </c>
      <c r="S69" s="123"/>
      <c r="T69" s="332"/>
      <c r="U69" s="93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row>
    <row r="70" spans="1:53" s="8" customFormat="1" ht="34.5" customHeight="1" x14ac:dyDescent="0.2">
      <c r="A70" s="855"/>
      <c r="B70" s="858"/>
      <c r="C70" s="856"/>
      <c r="D70" s="860"/>
      <c r="E70" s="859"/>
      <c r="F70" s="857"/>
      <c r="G70" s="935"/>
      <c r="H70" s="675"/>
      <c r="I70" s="772"/>
      <c r="J70" s="866"/>
      <c r="K70" s="675"/>
      <c r="L70" s="689"/>
      <c r="M70" s="86"/>
      <c r="N70" s="675"/>
      <c r="O70" s="689"/>
      <c r="P70" s="569"/>
      <c r="Q70" s="891" t="s">
        <v>322</v>
      </c>
      <c r="R70" s="841"/>
      <c r="S70" s="840">
        <v>1</v>
      </c>
      <c r="T70" s="841"/>
      <c r="U70" s="93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row>
    <row r="71" spans="1:53" s="8" customFormat="1" ht="16.5" customHeight="1" x14ac:dyDescent="0.2">
      <c r="A71" s="659"/>
      <c r="B71" s="665"/>
      <c r="C71" s="661"/>
      <c r="D71" s="1728" t="s">
        <v>106</v>
      </c>
      <c r="E71" s="657"/>
      <c r="F71" s="653"/>
      <c r="G71" s="935"/>
      <c r="H71" s="675"/>
      <c r="I71" s="689"/>
      <c r="J71" s="83"/>
      <c r="K71" s="675"/>
      <c r="L71" s="689"/>
      <c r="M71" s="86"/>
      <c r="N71" s="675"/>
      <c r="O71" s="689"/>
      <c r="P71" s="569"/>
      <c r="Q71" s="853" t="s">
        <v>133</v>
      </c>
      <c r="R71" s="222" t="s">
        <v>220</v>
      </c>
      <c r="S71" s="31" t="s">
        <v>220</v>
      </c>
      <c r="T71" s="222" t="s">
        <v>220</v>
      </c>
      <c r="U71" s="934"/>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row>
    <row r="72" spans="1:53" s="8" customFormat="1" ht="36.75" customHeight="1" x14ac:dyDescent="0.2">
      <c r="A72" s="659"/>
      <c r="B72" s="665"/>
      <c r="C72" s="661"/>
      <c r="D72" s="1729"/>
      <c r="E72" s="657"/>
      <c r="F72" s="653"/>
      <c r="G72" s="935"/>
      <c r="H72" s="675"/>
      <c r="I72" s="689"/>
      <c r="J72" s="83"/>
      <c r="K72" s="675"/>
      <c r="L72" s="689"/>
      <c r="M72" s="86"/>
      <c r="N72" s="675"/>
      <c r="O72" s="689"/>
      <c r="P72" s="569"/>
      <c r="Q72" s="112" t="s">
        <v>134</v>
      </c>
      <c r="R72" s="257" t="s">
        <v>104</v>
      </c>
      <c r="S72" s="766" t="s">
        <v>104</v>
      </c>
      <c r="T72" s="257" t="s">
        <v>104</v>
      </c>
      <c r="U72" s="286"/>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row>
    <row r="73" spans="1:53" s="8" customFormat="1" ht="27.75" customHeight="1" x14ac:dyDescent="0.2">
      <c r="A73" s="659"/>
      <c r="B73" s="665"/>
      <c r="C73" s="661"/>
      <c r="D73" s="654" t="s">
        <v>57</v>
      </c>
      <c r="E73" s="657"/>
      <c r="F73" s="653"/>
      <c r="G73" s="248"/>
      <c r="H73" s="523"/>
      <c r="I73" s="524"/>
      <c r="J73" s="81"/>
      <c r="K73" s="523"/>
      <c r="L73" s="524"/>
      <c r="M73" s="85"/>
      <c r="N73" s="523"/>
      <c r="O73" s="524"/>
      <c r="P73" s="131"/>
      <c r="Q73" s="281" t="s">
        <v>38</v>
      </c>
      <c r="R73" s="282">
        <v>11</v>
      </c>
      <c r="S73" s="282">
        <v>11</v>
      </c>
      <c r="T73" s="282">
        <v>11</v>
      </c>
      <c r="U73" s="172"/>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row>
    <row r="74" spans="1:53" ht="74.25" customHeight="1" x14ac:dyDescent="0.2">
      <c r="A74" s="659"/>
      <c r="B74" s="665"/>
      <c r="C74" s="661"/>
      <c r="D74" s="654" t="s">
        <v>250</v>
      </c>
      <c r="E74" s="657"/>
      <c r="F74" s="653"/>
      <c r="G74" s="935" t="s">
        <v>24</v>
      </c>
      <c r="H74" s="675"/>
      <c r="I74" s="772">
        <v>-185</v>
      </c>
      <c r="J74" s="866">
        <f>I74-H74</f>
        <v>-185</v>
      </c>
      <c r="K74" s="675"/>
      <c r="L74" s="772">
        <v>100</v>
      </c>
      <c r="M74" s="773">
        <f>L74-K74</f>
        <v>100</v>
      </c>
      <c r="N74" s="675"/>
      <c r="O74" s="689"/>
      <c r="P74" s="569"/>
      <c r="Q74" s="943" t="s">
        <v>219</v>
      </c>
      <c r="R74" s="949" t="s">
        <v>331</v>
      </c>
      <c r="S74" s="950">
        <v>100</v>
      </c>
      <c r="T74" s="118"/>
      <c r="U74" s="1952" t="s">
        <v>338</v>
      </c>
    </row>
    <row r="75" spans="1:53" ht="31.5" customHeight="1" x14ac:dyDescent="0.2">
      <c r="A75" s="915"/>
      <c r="B75" s="920"/>
      <c r="C75" s="919"/>
      <c r="D75" s="925"/>
      <c r="E75" s="914"/>
      <c r="F75" s="61"/>
      <c r="G75" s="365"/>
      <c r="H75" s="523"/>
      <c r="I75" s="524"/>
      <c r="J75" s="85"/>
      <c r="K75" s="523"/>
      <c r="L75" s="424"/>
      <c r="M75" s="948"/>
      <c r="N75" s="523"/>
      <c r="O75" s="524"/>
      <c r="P75" s="131"/>
      <c r="Q75" s="194"/>
      <c r="R75" s="65"/>
      <c r="S75" s="399"/>
      <c r="T75" s="119"/>
      <c r="U75" s="1955"/>
    </row>
    <row r="76" spans="1:53" s="8" customFormat="1" ht="16.5" customHeight="1" thickBot="1" x14ac:dyDescent="0.25">
      <c r="A76" s="659"/>
      <c r="B76" s="660"/>
      <c r="C76" s="696"/>
      <c r="D76" s="607"/>
      <c r="E76" s="608"/>
      <c r="F76" s="531"/>
      <c r="G76" s="34" t="s">
        <v>6</v>
      </c>
      <c r="H76" s="155">
        <f>SUM(H61:H74)</f>
        <v>3230.7</v>
      </c>
      <c r="I76" s="369">
        <f>SUM(I61:I74)</f>
        <v>3045.7</v>
      </c>
      <c r="J76" s="368">
        <f>SUM(J61:J74)</f>
        <v>-185</v>
      </c>
      <c r="K76" s="155">
        <f t="shared" ref="K76" si="1">SUM(K61:K74)</f>
        <v>3104.6</v>
      </c>
      <c r="L76" s="369">
        <f>SUM(L61:L74)</f>
        <v>3054.6</v>
      </c>
      <c r="M76" s="369">
        <f>SUM(M61:M74)</f>
        <v>-50</v>
      </c>
      <c r="N76" s="155">
        <f t="shared" ref="N76:O76" si="2">SUM(N61:N74)</f>
        <v>3104.6</v>
      </c>
      <c r="O76" s="369">
        <f t="shared" si="2"/>
        <v>3104.6</v>
      </c>
      <c r="P76" s="368">
        <f t="shared" ref="P76" si="3">SUM(P61:P74)</f>
        <v>0</v>
      </c>
      <c r="Q76" s="195"/>
      <c r="R76" s="38"/>
      <c r="S76" s="401"/>
      <c r="T76" s="356"/>
      <c r="U76" s="471"/>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c r="BA76" s="3"/>
    </row>
    <row r="77" spans="1:53" ht="14.25" customHeight="1" x14ac:dyDescent="0.2">
      <c r="A77" s="670" t="s">
        <v>5</v>
      </c>
      <c r="B77" s="672" t="s">
        <v>5</v>
      </c>
      <c r="C77" s="204" t="s">
        <v>26</v>
      </c>
      <c r="D77" s="1734" t="s">
        <v>54</v>
      </c>
      <c r="E77" s="213"/>
      <c r="F77" s="690" t="s">
        <v>27</v>
      </c>
      <c r="G77" s="159" t="s">
        <v>24</v>
      </c>
      <c r="H77" s="111">
        <f>964.6-66.3</f>
        <v>898.3</v>
      </c>
      <c r="I77" s="140">
        <f>964.6-66.3</f>
        <v>898.3</v>
      </c>
      <c r="J77" s="164"/>
      <c r="K77" s="111">
        <f>1067.6+70.8</f>
        <v>1138.4000000000001</v>
      </c>
      <c r="L77" s="140">
        <f>1067.6+70.8</f>
        <v>1138.4000000000001</v>
      </c>
      <c r="M77" s="164"/>
      <c r="N77" s="111">
        <v>958.3</v>
      </c>
      <c r="O77" s="140">
        <v>958.3</v>
      </c>
      <c r="P77" s="164"/>
      <c r="Q77" s="606"/>
      <c r="R77" s="602"/>
      <c r="S77" s="603"/>
      <c r="T77" s="715"/>
      <c r="U77" s="1975"/>
    </row>
    <row r="78" spans="1:53" ht="13.5" customHeight="1" x14ac:dyDescent="0.2">
      <c r="A78" s="659"/>
      <c r="B78" s="665"/>
      <c r="C78" s="696"/>
      <c r="D78" s="2018"/>
      <c r="E78" s="212"/>
      <c r="F78" s="653"/>
      <c r="G78" s="703" t="s">
        <v>58</v>
      </c>
      <c r="H78" s="675">
        <v>36</v>
      </c>
      <c r="I78" s="689">
        <v>36</v>
      </c>
      <c r="J78" s="569"/>
      <c r="K78" s="675"/>
      <c r="L78" s="689"/>
      <c r="M78" s="569"/>
      <c r="N78" s="675"/>
      <c r="O78" s="689"/>
      <c r="P78" s="569"/>
      <c r="Q78" s="688"/>
      <c r="R78" s="249"/>
      <c r="S78" s="228"/>
      <c r="T78" s="648"/>
      <c r="U78" s="1950"/>
    </row>
    <row r="79" spans="1:53" ht="13.5" customHeight="1" x14ac:dyDescent="0.2">
      <c r="A79" s="659"/>
      <c r="B79" s="665"/>
      <c r="C79" s="696"/>
      <c r="D79" s="2003"/>
      <c r="E79" s="212"/>
      <c r="F79" s="653"/>
      <c r="G79" s="703" t="s">
        <v>40</v>
      </c>
      <c r="H79" s="675">
        <v>32.700000000000003</v>
      </c>
      <c r="I79" s="689">
        <v>32.700000000000003</v>
      </c>
      <c r="J79" s="569"/>
      <c r="K79" s="675">
        <v>32.700000000000003</v>
      </c>
      <c r="L79" s="689">
        <v>32.700000000000003</v>
      </c>
      <c r="M79" s="569"/>
      <c r="N79" s="675">
        <v>32.700000000000003</v>
      </c>
      <c r="O79" s="689">
        <v>32.700000000000003</v>
      </c>
      <c r="P79" s="569"/>
      <c r="Q79" s="688"/>
      <c r="R79" s="249"/>
      <c r="S79" s="228"/>
      <c r="T79" s="648"/>
      <c r="U79" s="1950"/>
    </row>
    <row r="80" spans="1:53" ht="12" customHeight="1" x14ac:dyDescent="0.2">
      <c r="A80" s="659"/>
      <c r="B80" s="665"/>
      <c r="C80" s="696"/>
      <c r="D80" s="2019"/>
      <c r="E80" s="613"/>
      <c r="F80" s="653"/>
      <c r="G80" s="703" t="s">
        <v>80</v>
      </c>
      <c r="H80" s="675">
        <v>2.6</v>
      </c>
      <c r="I80" s="524">
        <v>2.6</v>
      </c>
      <c r="J80" s="779"/>
      <c r="K80" s="86"/>
      <c r="L80" s="689"/>
      <c r="M80" s="569"/>
      <c r="N80" s="86"/>
      <c r="O80" s="689"/>
      <c r="P80" s="569"/>
      <c r="Q80" s="128"/>
      <c r="R80" s="600"/>
      <c r="S80" s="508"/>
      <c r="T80" s="716"/>
      <c r="U80" s="1950"/>
    </row>
    <row r="81" spans="1:21" ht="24.75" customHeight="1" x14ac:dyDescent="0.2">
      <c r="A81" s="659"/>
      <c r="B81" s="665"/>
      <c r="C81" s="696"/>
      <c r="D81" s="1680" t="s">
        <v>282</v>
      </c>
      <c r="E81" s="1973" t="s">
        <v>65</v>
      </c>
      <c r="F81" s="653"/>
      <c r="G81" s="53"/>
      <c r="H81" s="93"/>
      <c r="I81" s="806"/>
      <c r="J81" s="807"/>
      <c r="K81" s="711"/>
      <c r="L81" s="806"/>
      <c r="M81" s="807"/>
      <c r="N81" s="711"/>
      <c r="O81" s="713"/>
      <c r="P81" s="582"/>
      <c r="Q81" s="694" t="s">
        <v>256</v>
      </c>
      <c r="R81" s="176">
        <v>60</v>
      </c>
      <c r="S81" s="478">
        <v>80</v>
      </c>
      <c r="T81" s="560">
        <v>100</v>
      </c>
      <c r="U81" s="1950"/>
    </row>
    <row r="82" spans="1:21" ht="27" customHeight="1" x14ac:dyDescent="0.2">
      <c r="A82" s="659"/>
      <c r="B82" s="665"/>
      <c r="C82" s="696"/>
      <c r="D82" s="2003"/>
      <c r="E82" s="1974"/>
      <c r="F82" s="653"/>
      <c r="G82" s="23"/>
      <c r="H82" s="675"/>
      <c r="I82" s="689"/>
      <c r="J82" s="569"/>
      <c r="K82" s="86"/>
      <c r="L82" s="689"/>
      <c r="M82" s="569"/>
      <c r="N82" s="86"/>
      <c r="O82" s="689"/>
      <c r="P82" s="569"/>
      <c r="Q82" s="583" t="s">
        <v>185</v>
      </c>
      <c r="R82" s="258">
        <v>4</v>
      </c>
      <c r="S82" s="405">
        <v>4</v>
      </c>
      <c r="T82" s="717">
        <v>4</v>
      </c>
      <c r="U82" s="421"/>
    </row>
    <row r="83" spans="1:21" ht="11.25" customHeight="1" x14ac:dyDescent="0.2">
      <c r="A83" s="659"/>
      <c r="B83" s="665"/>
      <c r="C83" s="696"/>
      <c r="D83" s="669"/>
      <c r="E83" s="580"/>
      <c r="F83" s="653"/>
      <c r="G83" s="23"/>
      <c r="H83" s="675"/>
      <c r="I83" s="689"/>
      <c r="J83" s="569"/>
      <c r="K83" s="675"/>
      <c r="L83" s="689"/>
      <c r="M83" s="569"/>
      <c r="N83" s="675"/>
      <c r="O83" s="689"/>
      <c r="P83" s="569"/>
      <c r="Q83" s="688" t="s">
        <v>160</v>
      </c>
      <c r="R83" s="121">
        <v>40</v>
      </c>
      <c r="S83" s="396">
        <v>40</v>
      </c>
      <c r="T83" s="718">
        <v>40</v>
      </c>
      <c r="U83" s="421"/>
    </row>
    <row r="84" spans="1:21" ht="14.25" customHeight="1" x14ac:dyDescent="0.2">
      <c r="A84" s="659"/>
      <c r="B84" s="665"/>
      <c r="C84" s="696"/>
      <c r="D84" s="656"/>
      <c r="E84" s="580"/>
      <c r="F84" s="653"/>
      <c r="G84" s="23"/>
      <c r="H84" s="674"/>
      <c r="I84" s="676"/>
      <c r="J84" s="592"/>
      <c r="K84" s="290"/>
      <c r="L84" s="676"/>
      <c r="M84" s="592"/>
      <c r="N84" s="290"/>
      <c r="O84" s="676"/>
      <c r="P84" s="592"/>
      <c r="Q84" s="16" t="s">
        <v>286</v>
      </c>
      <c r="R84" s="538">
        <v>15</v>
      </c>
      <c r="S84" s="538">
        <v>15</v>
      </c>
      <c r="T84" s="704">
        <v>15</v>
      </c>
      <c r="U84" s="421"/>
    </row>
    <row r="85" spans="1:21" ht="28.5" customHeight="1" x14ac:dyDescent="0.2">
      <c r="A85" s="659"/>
      <c r="B85" s="665"/>
      <c r="C85" s="696"/>
      <c r="D85" s="609"/>
      <c r="E85" s="509"/>
      <c r="F85" s="510"/>
      <c r="G85" s="512"/>
      <c r="H85" s="675"/>
      <c r="I85" s="689"/>
      <c r="J85" s="569"/>
      <c r="K85" s="712"/>
      <c r="L85" s="709"/>
      <c r="M85" s="514"/>
      <c r="N85" s="712"/>
      <c r="O85" s="709"/>
      <c r="P85" s="514"/>
      <c r="Q85" s="844" t="s">
        <v>287</v>
      </c>
      <c r="R85" s="845"/>
      <c r="S85" s="901">
        <v>1</v>
      </c>
      <c r="T85" s="846"/>
      <c r="U85" s="902"/>
    </row>
    <row r="86" spans="1:21" ht="39" customHeight="1" x14ac:dyDescent="0.2">
      <c r="A86" s="659"/>
      <c r="B86" s="665"/>
      <c r="C86" s="696"/>
      <c r="D86" s="511"/>
      <c r="E86" s="509"/>
      <c r="F86" s="510"/>
      <c r="G86" s="512"/>
      <c r="H86" s="513"/>
      <c r="I86" s="709"/>
      <c r="J86" s="514"/>
      <c r="K86" s="712"/>
      <c r="L86" s="709"/>
      <c r="M86" s="514"/>
      <c r="N86" s="712"/>
      <c r="O86" s="709"/>
      <c r="P86" s="514"/>
      <c r="Q86" s="681" t="s">
        <v>167</v>
      </c>
      <c r="R86" s="121"/>
      <c r="S86" s="396"/>
      <c r="T86" s="718"/>
      <c r="U86" s="421"/>
    </row>
    <row r="87" spans="1:21" ht="12.95" customHeight="1" x14ac:dyDescent="0.2">
      <c r="A87" s="659"/>
      <c r="B87" s="665"/>
      <c r="C87" s="696"/>
      <c r="D87" s="656"/>
      <c r="E87" s="73"/>
      <c r="F87" s="653"/>
      <c r="G87" s="23"/>
      <c r="H87" s="675"/>
      <c r="I87" s="689"/>
      <c r="J87" s="569"/>
      <c r="K87" s="86"/>
      <c r="L87" s="689"/>
      <c r="M87" s="569"/>
      <c r="N87" s="86"/>
      <c r="O87" s="689"/>
      <c r="P87" s="569"/>
      <c r="Q87" s="539" t="s">
        <v>179</v>
      </c>
      <c r="R87" s="258">
        <v>1</v>
      </c>
      <c r="S87" s="405"/>
      <c r="T87" s="717"/>
      <c r="U87" s="421"/>
    </row>
    <row r="88" spans="1:21" ht="12.95" customHeight="1" x14ac:dyDescent="0.2">
      <c r="A88" s="659"/>
      <c r="B88" s="665"/>
      <c r="C88" s="696"/>
      <c r="D88" s="656"/>
      <c r="E88" s="73"/>
      <c r="F88" s="653"/>
      <c r="G88" s="955" t="s">
        <v>24</v>
      </c>
      <c r="H88" s="956"/>
      <c r="I88" s="957"/>
      <c r="J88" s="951"/>
      <c r="K88" s="956"/>
      <c r="L88" s="957">
        <v>-150</v>
      </c>
      <c r="M88" s="951">
        <f>L88-K88</f>
        <v>-150</v>
      </c>
      <c r="N88" s="958"/>
      <c r="O88" s="957">
        <v>150</v>
      </c>
      <c r="P88" s="951">
        <f>O88-N88</f>
        <v>150</v>
      </c>
      <c r="Q88" s="373" t="s">
        <v>180</v>
      </c>
      <c r="R88" s="214"/>
      <c r="S88" s="953">
        <v>3</v>
      </c>
      <c r="T88" s="952">
        <v>3</v>
      </c>
      <c r="U88" s="1956" t="s">
        <v>339</v>
      </c>
    </row>
    <row r="89" spans="1:21" ht="12.95" customHeight="1" x14ac:dyDescent="0.2">
      <c r="A89" s="659"/>
      <c r="B89" s="665"/>
      <c r="C89" s="696"/>
      <c r="D89" s="656"/>
      <c r="E89" s="73"/>
      <c r="F89" s="653"/>
      <c r="G89" s="959"/>
      <c r="H89" s="789"/>
      <c r="I89" s="772"/>
      <c r="J89" s="779"/>
      <c r="K89" s="789"/>
      <c r="L89" s="772"/>
      <c r="M89" s="779"/>
      <c r="N89" s="773"/>
      <c r="O89" s="772"/>
      <c r="P89" s="779"/>
      <c r="Q89" s="261" t="s">
        <v>181</v>
      </c>
      <c r="R89" s="121"/>
      <c r="S89" s="396"/>
      <c r="T89" s="718"/>
      <c r="U89" s="1958"/>
    </row>
    <row r="90" spans="1:21" ht="39.75" customHeight="1" x14ac:dyDescent="0.2">
      <c r="A90" s="659"/>
      <c r="B90" s="665"/>
      <c r="C90" s="696"/>
      <c r="D90" s="656"/>
      <c r="E90" s="73"/>
      <c r="F90" s="653"/>
      <c r="G90" s="960"/>
      <c r="H90" s="961"/>
      <c r="I90" s="962"/>
      <c r="J90" s="963"/>
      <c r="K90" s="961"/>
      <c r="L90" s="962"/>
      <c r="M90" s="963"/>
      <c r="N90" s="964"/>
      <c r="O90" s="962"/>
      <c r="P90" s="963"/>
      <c r="Q90" s="701" t="s">
        <v>182</v>
      </c>
      <c r="R90" s="178"/>
      <c r="S90" s="403"/>
      <c r="T90" s="719"/>
      <c r="U90" s="1959"/>
    </row>
    <row r="91" spans="1:21" ht="12.75" customHeight="1" x14ac:dyDescent="0.2">
      <c r="A91" s="659"/>
      <c r="B91" s="665"/>
      <c r="C91" s="696"/>
      <c r="D91" s="656"/>
      <c r="E91" s="73"/>
      <c r="F91" s="653"/>
      <c r="G91" s="955" t="s">
        <v>24</v>
      </c>
      <c r="H91" s="956"/>
      <c r="I91" s="957"/>
      <c r="J91" s="951"/>
      <c r="K91" s="773"/>
      <c r="L91" s="772"/>
      <c r="M91" s="779"/>
      <c r="N91" s="773"/>
      <c r="O91" s="772">
        <v>-150</v>
      </c>
      <c r="P91" s="779">
        <f>O91-N91</f>
        <v>-150</v>
      </c>
      <c r="Q91" s="683" t="s">
        <v>178</v>
      </c>
      <c r="R91" s="214"/>
      <c r="S91" s="404"/>
      <c r="T91" s="954">
        <v>2</v>
      </c>
      <c r="U91" s="1956" t="s">
        <v>340</v>
      </c>
    </row>
    <row r="92" spans="1:21" ht="43.5" customHeight="1" x14ac:dyDescent="0.2">
      <c r="A92" s="659"/>
      <c r="B92" s="665"/>
      <c r="C92" s="696"/>
      <c r="D92" s="656"/>
      <c r="E92" s="73"/>
      <c r="F92" s="653"/>
      <c r="G92" s="960"/>
      <c r="H92" s="961"/>
      <c r="I92" s="962"/>
      <c r="J92" s="963"/>
      <c r="K92" s="961"/>
      <c r="L92" s="962"/>
      <c r="M92" s="963"/>
      <c r="N92" s="964"/>
      <c r="O92" s="962"/>
      <c r="P92" s="963"/>
      <c r="Q92" s="688" t="s">
        <v>288</v>
      </c>
      <c r="R92" s="121"/>
      <c r="S92" s="396"/>
      <c r="T92" s="718"/>
      <c r="U92" s="1957"/>
    </row>
    <row r="93" spans="1:21" ht="27.75" customHeight="1" x14ac:dyDescent="0.2">
      <c r="A93" s="659"/>
      <c r="B93" s="665"/>
      <c r="C93" s="696"/>
      <c r="D93" s="656"/>
      <c r="E93" s="73"/>
      <c r="F93" s="653"/>
      <c r="G93" s="23"/>
      <c r="H93" s="675"/>
      <c r="I93" s="689"/>
      <c r="J93" s="569"/>
      <c r="K93" s="86"/>
      <c r="L93" s="689"/>
      <c r="M93" s="569"/>
      <c r="N93" s="86"/>
      <c r="O93" s="689"/>
      <c r="P93" s="569"/>
      <c r="Q93" s="180" t="s">
        <v>273</v>
      </c>
      <c r="R93" s="344">
        <v>2</v>
      </c>
      <c r="S93" s="406"/>
      <c r="T93" s="720"/>
      <c r="U93" s="421"/>
    </row>
    <row r="94" spans="1:21" ht="27" customHeight="1" x14ac:dyDescent="0.2">
      <c r="A94" s="659"/>
      <c r="B94" s="665"/>
      <c r="C94" s="661"/>
      <c r="D94" s="1679" t="s">
        <v>105</v>
      </c>
      <c r="E94" s="666"/>
      <c r="F94" s="653"/>
      <c r="G94" s="575"/>
      <c r="H94" s="93"/>
      <c r="I94" s="125"/>
      <c r="J94" s="132"/>
      <c r="K94" s="109"/>
      <c r="L94" s="125"/>
      <c r="M94" s="132"/>
      <c r="N94" s="109"/>
      <c r="O94" s="125"/>
      <c r="P94" s="132"/>
      <c r="Q94" s="1764" t="s">
        <v>289</v>
      </c>
      <c r="R94" s="176">
        <v>1</v>
      </c>
      <c r="S94" s="478">
        <v>1</v>
      </c>
      <c r="T94" s="560">
        <v>1</v>
      </c>
      <c r="U94" s="421"/>
    </row>
    <row r="95" spans="1:21" ht="15" customHeight="1" x14ac:dyDescent="0.2">
      <c r="A95" s="659"/>
      <c r="B95" s="665"/>
      <c r="C95" s="696"/>
      <c r="D95" s="1725"/>
      <c r="E95" s="668"/>
      <c r="F95" s="653"/>
      <c r="G95" s="21"/>
      <c r="H95" s="523"/>
      <c r="I95" s="524"/>
      <c r="J95" s="131"/>
      <c r="K95" s="85"/>
      <c r="L95" s="524"/>
      <c r="M95" s="131"/>
      <c r="N95" s="85"/>
      <c r="O95" s="524"/>
      <c r="P95" s="131"/>
      <c r="Q95" s="1762"/>
      <c r="R95" s="65"/>
      <c r="S95" s="399"/>
      <c r="T95" s="119"/>
      <c r="U95" s="471"/>
    </row>
    <row r="96" spans="1:21" ht="12.95" customHeight="1" x14ac:dyDescent="0.2">
      <c r="A96" s="659"/>
      <c r="B96" s="665"/>
      <c r="C96" s="696"/>
      <c r="D96" s="1679" t="s">
        <v>79</v>
      </c>
      <c r="E96" s="1821" t="s">
        <v>65</v>
      </c>
      <c r="F96" s="653"/>
      <c r="G96" s="703"/>
      <c r="H96" s="382"/>
      <c r="I96" s="135"/>
      <c r="J96" s="133"/>
      <c r="K96" s="91"/>
      <c r="L96" s="135"/>
      <c r="M96" s="133"/>
      <c r="N96" s="91"/>
      <c r="O96" s="135"/>
      <c r="P96" s="133"/>
      <c r="Q96" s="697" t="s">
        <v>110</v>
      </c>
      <c r="R96" s="297">
        <v>22.5</v>
      </c>
      <c r="S96" s="610">
        <v>22.5</v>
      </c>
      <c r="T96" s="721">
        <v>22.5</v>
      </c>
      <c r="U96" s="729"/>
    </row>
    <row r="97" spans="1:22" ht="12.95" customHeight="1" x14ac:dyDescent="0.2">
      <c r="A97" s="659"/>
      <c r="B97" s="665"/>
      <c r="C97" s="696"/>
      <c r="D97" s="1680"/>
      <c r="E97" s="1822"/>
      <c r="F97" s="653"/>
      <c r="G97" s="703"/>
      <c r="H97" s="675"/>
      <c r="I97" s="689"/>
      <c r="J97" s="569"/>
      <c r="K97" s="86"/>
      <c r="L97" s="689"/>
      <c r="M97" s="569"/>
      <c r="N97" s="86"/>
      <c r="O97" s="689"/>
      <c r="P97" s="569"/>
      <c r="Q97" s="314" t="s">
        <v>111</v>
      </c>
      <c r="R97" s="315">
        <v>108</v>
      </c>
      <c r="S97" s="620">
        <v>108</v>
      </c>
      <c r="T97" s="722">
        <v>108</v>
      </c>
      <c r="U97" s="422"/>
    </row>
    <row r="98" spans="1:22" ht="12.95" customHeight="1" x14ac:dyDescent="0.2">
      <c r="A98" s="659"/>
      <c r="B98" s="660"/>
      <c r="C98" s="661"/>
      <c r="D98" s="1680"/>
      <c r="E98" s="1822"/>
      <c r="F98" s="653"/>
      <c r="G98" s="703"/>
      <c r="H98" s="675"/>
      <c r="I98" s="689"/>
      <c r="J98" s="569"/>
      <c r="K98" s="86"/>
      <c r="L98" s="689"/>
      <c r="M98" s="569"/>
      <c r="N98" s="86"/>
      <c r="O98" s="689"/>
      <c r="P98" s="569"/>
      <c r="Q98" s="338" t="s">
        <v>109</v>
      </c>
      <c r="R98" s="316">
        <v>5</v>
      </c>
      <c r="S98" s="408">
        <v>5</v>
      </c>
      <c r="T98" s="705">
        <v>5</v>
      </c>
      <c r="U98" s="428"/>
    </row>
    <row r="99" spans="1:22" ht="15" customHeight="1" x14ac:dyDescent="0.2">
      <c r="A99" s="659"/>
      <c r="B99" s="665"/>
      <c r="C99" s="696"/>
      <c r="D99" s="1680"/>
      <c r="E99" s="1822"/>
      <c r="F99" s="653"/>
      <c r="G99" s="703"/>
      <c r="H99" s="675"/>
      <c r="I99" s="689"/>
      <c r="J99" s="569"/>
      <c r="K99" s="86"/>
      <c r="L99" s="689"/>
      <c r="M99" s="569"/>
      <c r="N99" s="86"/>
      <c r="O99" s="689"/>
      <c r="P99" s="569"/>
      <c r="Q99" s="1971" t="s">
        <v>290</v>
      </c>
      <c r="R99" s="206">
        <v>1</v>
      </c>
      <c r="S99" s="284">
        <v>1</v>
      </c>
      <c r="T99" s="417">
        <v>1</v>
      </c>
      <c r="U99" s="286"/>
    </row>
    <row r="100" spans="1:22" ht="12.75" customHeight="1" x14ac:dyDescent="0.2">
      <c r="A100" s="659"/>
      <c r="B100" s="665"/>
      <c r="C100" s="696"/>
      <c r="D100" s="345"/>
      <c r="E100" s="1822"/>
      <c r="F100" s="653"/>
      <c r="G100" s="703"/>
      <c r="H100" s="86"/>
      <c r="I100" s="689"/>
      <c r="J100" s="569"/>
      <c r="K100" s="86"/>
      <c r="L100" s="689"/>
      <c r="M100" s="569"/>
      <c r="N100" s="86"/>
      <c r="O100" s="689"/>
      <c r="P100" s="569"/>
      <c r="Q100" s="1972"/>
      <c r="R100" s="621"/>
      <c r="S100" s="622"/>
      <c r="T100" s="304"/>
      <c r="U100" s="420"/>
    </row>
    <row r="101" spans="1:22" ht="63.75" customHeight="1" x14ac:dyDescent="0.2">
      <c r="A101" s="659"/>
      <c r="B101" s="665"/>
      <c r="C101" s="696"/>
      <c r="D101" s="1680"/>
      <c r="E101" s="374"/>
      <c r="F101" s="653"/>
      <c r="G101" s="703"/>
      <c r="H101" s="675"/>
      <c r="I101" s="689"/>
      <c r="J101" s="569"/>
      <c r="K101" s="675"/>
      <c r="L101" s="689"/>
      <c r="M101" s="569"/>
      <c r="N101" s="675"/>
      <c r="O101" s="689"/>
      <c r="P101" s="569"/>
      <c r="Q101" s="702" t="s">
        <v>291</v>
      </c>
      <c r="R101" s="67">
        <v>66</v>
      </c>
      <c r="S101" s="691">
        <v>64</v>
      </c>
      <c r="T101" s="117">
        <v>60</v>
      </c>
      <c r="U101" s="471"/>
    </row>
    <row r="102" spans="1:22" ht="26.25" customHeight="1" x14ac:dyDescent="0.2">
      <c r="A102" s="659"/>
      <c r="B102" s="660"/>
      <c r="C102" s="661"/>
      <c r="D102" s="1739"/>
      <c r="E102" s="541"/>
      <c r="F102" s="540"/>
      <c r="G102" s="703"/>
      <c r="H102" s="675"/>
      <c r="I102" s="689"/>
      <c r="J102" s="569"/>
      <c r="K102" s="86"/>
      <c r="L102" s="689"/>
      <c r="M102" s="569"/>
      <c r="N102" s="675"/>
      <c r="O102" s="689"/>
      <c r="P102" s="569"/>
      <c r="Q102" s="338" t="s">
        <v>221</v>
      </c>
      <c r="R102" s="316">
        <v>50</v>
      </c>
      <c r="S102" s="316">
        <v>100</v>
      </c>
      <c r="T102" s="723"/>
      <c r="U102" s="730"/>
    </row>
    <row r="103" spans="1:22" ht="41.25" customHeight="1" x14ac:dyDescent="0.2">
      <c r="A103" s="659"/>
      <c r="B103" s="665"/>
      <c r="C103" s="696"/>
      <c r="D103" s="656"/>
      <c r="E103" s="541"/>
      <c r="F103" s="540"/>
      <c r="G103" s="703"/>
      <c r="H103" s="675"/>
      <c r="I103" s="689"/>
      <c r="J103" s="569"/>
      <c r="K103" s="86"/>
      <c r="L103" s="689"/>
      <c r="M103" s="569"/>
      <c r="N103" s="86"/>
      <c r="O103" s="689"/>
      <c r="P103" s="569"/>
      <c r="Q103" s="614" t="s">
        <v>292</v>
      </c>
      <c r="R103" s="207"/>
      <c r="S103" s="207"/>
      <c r="T103" s="418">
        <v>100</v>
      </c>
      <c r="U103" s="289"/>
    </row>
    <row r="104" spans="1:22" ht="27.75" customHeight="1" x14ac:dyDescent="0.2">
      <c r="A104" s="659"/>
      <c r="B104" s="665"/>
      <c r="C104" s="696"/>
      <c r="D104" s="345"/>
      <c r="E104" s="612"/>
      <c r="F104" s="653"/>
      <c r="G104" s="703"/>
      <c r="H104" s="675"/>
      <c r="I104" s="689"/>
      <c r="J104" s="569"/>
      <c r="K104" s="86"/>
      <c r="L104" s="689"/>
      <c r="M104" s="569"/>
      <c r="N104" s="86"/>
      <c r="O104" s="689"/>
      <c r="P104" s="569"/>
      <c r="Q104" s="375" t="s">
        <v>272</v>
      </c>
      <c r="R104" s="249"/>
      <c r="S104" s="228"/>
      <c r="T104" s="648"/>
      <c r="U104" s="420"/>
    </row>
    <row r="105" spans="1:22" ht="14.1" customHeight="1" x14ac:dyDescent="0.2">
      <c r="A105" s="659"/>
      <c r="B105" s="665"/>
      <c r="C105" s="696"/>
      <c r="D105" s="1680"/>
      <c r="E105" s="541"/>
      <c r="F105" s="540"/>
      <c r="G105" s="703"/>
      <c r="H105" s="675"/>
      <c r="I105" s="689"/>
      <c r="J105" s="569"/>
      <c r="K105" s="86"/>
      <c r="L105" s="689"/>
      <c r="M105" s="569"/>
      <c r="N105" s="86"/>
      <c r="O105" s="689"/>
      <c r="P105" s="569"/>
      <c r="Q105" s="697" t="s">
        <v>110</v>
      </c>
      <c r="R105" s="299">
        <v>1</v>
      </c>
      <c r="S105" s="481">
        <v>1</v>
      </c>
      <c r="T105" s="724">
        <v>1</v>
      </c>
      <c r="U105" s="428"/>
    </row>
    <row r="106" spans="1:22" ht="14.1" customHeight="1" x14ac:dyDescent="0.2">
      <c r="A106" s="659"/>
      <c r="B106" s="665"/>
      <c r="C106" s="696"/>
      <c r="D106" s="1680"/>
      <c r="E106" s="541"/>
      <c r="F106" s="540"/>
      <c r="G106" s="703"/>
      <c r="H106" s="675"/>
      <c r="I106" s="689"/>
      <c r="J106" s="569"/>
      <c r="K106" s="86"/>
      <c r="L106" s="689"/>
      <c r="M106" s="569"/>
      <c r="N106" s="86"/>
      <c r="O106" s="689"/>
      <c r="P106" s="569"/>
      <c r="Q106" s="697" t="s">
        <v>270</v>
      </c>
      <c r="R106" s="299">
        <v>1</v>
      </c>
      <c r="S106" s="481"/>
      <c r="T106" s="724"/>
      <c r="U106" s="428"/>
    </row>
    <row r="107" spans="1:22" ht="14.1" customHeight="1" x14ac:dyDescent="0.2">
      <c r="A107" s="659"/>
      <c r="B107" s="665"/>
      <c r="C107" s="696"/>
      <c r="D107" s="2003"/>
      <c r="E107" s="623"/>
      <c r="F107" s="540"/>
      <c r="G107" s="703"/>
      <c r="H107" s="675"/>
      <c r="I107" s="689"/>
      <c r="J107" s="569"/>
      <c r="K107" s="86"/>
      <c r="L107" s="689"/>
      <c r="M107" s="569"/>
      <c r="N107" s="86"/>
      <c r="O107" s="689"/>
      <c r="P107" s="569"/>
      <c r="Q107" s="578" t="s">
        <v>271</v>
      </c>
      <c r="R107" s="331"/>
      <c r="S107" s="331">
        <v>1</v>
      </c>
      <c r="T107" s="706"/>
      <c r="U107" s="428"/>
      <c r="V107" s="208"/>
    </row>
    <row r="108" spans="1:22" ht="13.5" customHeight="1" x14ac:dyDescent="0.2">
      <c r="A108" s="1683"/>
      <c r="B108" s="1684"/>
      <c r="C108" s="1724"/>
      <c r="D108" s="1679" t="s">
        <v>201</v>
      </c>
      <c r="E108" s="1832"/>
      <c r="F108" s="1963"/>
      <c r="G108" s="575"/>
      <c r="H108" s="93"/>
      <c r="I108" s="125"/>
      <c r="J108" s="132"/>
      <c r="K108" s="109"/>
      <c r="L108" s="125"/>
      <c r="M108" s="132"/>
      <c r="N108" s="109"/>
      <c r="O108" s="125"/>
      <c r="P108" s="132"/>
      <c r="Q108" s="699" t="s">
        <v>130</v>
      </c>
      <c r="R108" s="67">
        <v>2</v>
      </c>
      <c r="S108" s="691">
        <v>2</v>
      </c>
      <c r="T108" s="117">
        <v>2</v>
      </c>
      <c r="U108" s="471"/>
    </row>
    <row r="109" spans="1:22" ht="14.25" customHeight="1" x14ac:dyDescent="0.2">
      <c r="A109" s="1683"/>
      <c r="B109" s="1684"/>
      <c r="C109" s="1724"/>
      <c r="D109" s="1680"/>
      <c r="E109" s="1832"/>
      <c r="F109" s="1963"/>
      <c r="G109" s="703"/>
      <c r="H109" s="675"/>
      <c r="I109" s="689"/>
      <c r="J109" s="569"/>
      <c r="K109" s="86"/>
      <c r="L109" s="689"/>
      <c r="M109" s="569"/>
      <c r="N109" s="86"/>
      <c r="O109" s="689"/>
      <c r="P109" s="569"/>
      <c r="Q109" s="699" t="s">
        <v>111</v>
      </c>
      <c r="R109" s="67">
        <v>5</v>
      </c>
      <c r="S109" s="691">
        <v>5</v>
      </c>
      <c r="T109" s="117">
        <v>5</v>
      </c>
      <c r="U109" s="471"/>
    </row>
    <row r="110" spans="1:22" ht="6" customHeight="1" x14ac:dyDescent="0.2">
      <c r="A110" s="1683"/>
      <c r="B110" s="1684"/>
      <c r="C110" s="1724"/>
      <c r="D110" s="1725"/>
      <c r="E110" s="1744"/>
      <c r="F110" s="1963"/>
      <c r="G110" s="248"/>
      <c r="H110" s="523"/>
      <c r="I110" s="524"/>
      <c r="J110" s="131"/>
      <c r="K110" s="85"/>
      <c r="L110" s="524"/>
      <c r="M110" s="131"/>
      <c r="N110" s="85"/>
      <c r="O110" s="524"/>
      <c r="P110" s="131"/>
      <c r="Q110" s="635"/>
      <c r="R110" s="65"/>
      <c r="S110" s="399"/>
      <c r="T110" s="119"/>
      <c r="U110" s="471"/>
    </row>
    <row r="111" spans="1:22" ht="12.75" customHeight="1" x14ac:dyDescent="0.2">
      <c r="A111" s="659"/>
      <c r="B111" s="665"/>
      <c r="C111" s="661"/>
      <c r="D111" s="1680" t="s">
        <v>62</v>
      </c>
      <c r="E111" s="667"/>
      <c r="F111" s="653"/>
      <c r="G111" s="703"/>
      <c r="H111" s="675"/>
      <c r="I111" s="689"/>
      <c r="J111" s="569"/>
      <c r="K111" s="86"/>
      <c r="L111" s="689"/>
      <c r="M111" s="569"/>
      <c r="N111" s="86"/>
      <c r="O111" s="689"/>
      <c r="P111" s="569"/>
      <c r="Q111" s="699" t="s">
        <v>110</v>
      </c>
      <c r="R111" s="33">
        <v>2</v>
      </c>
      <c r="S111" s="410">
        <v>2</v>
      </c>
      <c r="T111" s="118">
        <v>2</v>
      </c>
      <c r="U111" s="471"/>
    </row>
    <row r="112" spans="1:22" ht="12.75" customHeight="1" x14ac:dyDescent="0.2">
      <c r="A112" s="659"/>
      <c r="B112" s="665"/>
      <c r="C112" s="696"/>
      <c r="D112" s="1680"/>
      <c r="E112" s="667"/>
      <c r="F112" s="653"/>
      <c r="G112" s="21"/>
      <c r="H112" s="523"/>
      <c r="I112" s="524"/>
      <c r="J112" s="131"/>
      <c r="K112" s="85"/>
      <c r="L112" s="524"/>
      <c r="M112" s="131"/>
      <c r="N112" s="85"/>
      <c r="O112" s="524"/>
      <c r="P112" s="131"/>
      <c r="Q112" s="699"/>
      <c r="R112" s="67"/>
      <c r="S112" s="691"/>
      <c r="T112" s="117"/>
      <c r="U112" s="471"/>
    </row>
    <row r="113" spans="1:53" s="8" customFormat="1" ht="16.5" customHeight="1" thickBot="1" x14ac:dyDescent="0.25">
      <c r="A113" s="659"/>
      <c r="B113" s="660"/>
      <c r="C113" s="696"/>
      <c r="D113" s="607"/>
      <c r="E113" s="608"/>
      <c r="F113" s="531"/>
      <c r="G113" s="34" t="s">
        <v>6</v>
      </c>
      <c r="H113" s="155">
        <f t="shared" ref="H113:P113" si="4">SUM(H77:H112)</f>
        <v>969.6</v>
      </c>
      <c r="I113" s="369">
        <f>SUM(I77:I112)</f>
        <v>969.6</v>
      </c>
      <c r="J113" s="368">
        <f t="shared" si="4"/>
        <v>0</v>
      </c>
      <c r="K113" s="155">
        <f t="shared" si="4"/>
        <v>1171.0999999999999</v>
      </c>
      <c r="L113" s="369">
        <f t="shared" si="4"/>
        <v>1021.1</v>
      </c>
      <c r="M113" s="368">
        <f t="shared" si="4"/>
        <v>-150</v>
      </c>
      <c r="N113" s="155">
        <f t="shared" si="4"/>
        <v>991</v>
      </c>
      <c r="O113" s="369">
        <f t="shared" si="4"/>
        <v>991</v>
      </c>
      <c r="P113" s="368">
        <f t="shared" si="4"/>
        <v>0</v>
      </c>
      <c r="Q113" s="765"/>
      <c r="R113" s="67"/>
      <c r="S113" s="691"/>
      <c r="T113" s="117"/>
      <c r="U113" s="471"/>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3"/>
      <c r="AW113" s="3"/>
      <c r="AX113" s="3"/>
      <c r="AY113" s="3"/>
      <c r="AZ113" s="3"/>
      <c r="BA113" s="3"/>
    </row>
    <row r="114" spans="1:53" s="8" customFormat="1" ht="18" customHeight="1" x14ac:dyDescent="0.2">
      <c r="A114" s="1730" t="s">
        <v>5</v>
      </c>
      <c r="B114" s="1731" t="s">
        <v>5</v>
      </c>
      <c r="C114" s="1733" t="s">
        <v>34</v>
      </c>
      <c r="D114" s="1734" t="s">
        <v>55</v>
      </c>
      <c r="E114" s="2020" t="s">
        <v>100</v>
      </c>
      <c r="F114" s="2022" t="s">
        <v>27</v>
      </c>
      <c r="G114" s="159" t="s">
        <v>24</v>
      </c>
      <c r="H114" s="140">
        <f>2165.1-8.4</f>
        <v>2156.6999999999998</v>
      </c>
      <c r="I114" s="140">
        <f>2165.1-8.4</f>
        <v>2156.6999999999998</v>
      </c>
      <c r="J114" s="780"/>
      <c r="K114" s="111">
        <v>2361.8000000000002</v>
      </c>
      <c r="L114" s="140">
        <v>2361.8000000000002</v>
      </c>
      <c r="M114" s="110"/>
      <c r="N114" s="111">
        <v>2399.1999999999998</v>
      </c>
      <c r="O114" s="140">
        <v>2399.1999999999998</v>
      </c>
      <c r="P114" s="110"/>
      <c r="Q114" s="1738"/>
      <c r="R114" s="39"/>
      <c r="S114" s="1882"/>
      <c r="T114" s="1880"/>
      <c r="U114" s="1975"/>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c r="AW114" s="3"/>
      <c r="AX114" s="3"/>
      <c r="AY114" s="3"/>
      <c r="AZ114" s="3"/>
      <c r="BA114" s="3"/>
    </row>
    <row r="115" spans="1:53" s="8" customFormat="1" ht="13.5" customHeight="1" x14ac:dyDescent="0.2">
      <c r="A115" s="1683"/>
      <c r="B115" s="1732"/>
      <c r="C115" s="1724"/>
      <c r="D115" s="1735"/>
      <c r="E115" s="2021"/>
      <c r="F115" s="1963"/>
      <c r="G115" s="248" t="s">
        <v>58</v>
      </c>
      <c r="H115" s="524">
        <v>205.6</v>
      </c>
      <c r="I115" s="524">
        <v>205.6</v>
      </c>
      <c r="J115" s="376"/>
      <c r="K115" s="523"/>
      <c r="L115" s="524"/>
      <c r="M115" s="85"/>
      <c r="N115" s="523"/>
      <c r="O115" s="524"/>
      <c r="P115" s="85"/>
      <c r="Q115" s="1682"/>
      <c r="R115" s="67"/>
      <c r="S115" s="1883"/>
      <c r="T115" s="1881"/>
      <c r="U115" s="1950"/>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c r="BA115" s="3"/>
    </row>
    <row r="116" spans="1:53" s="8" customFormat="1" ht="15.75" customHeight="1" x14ac:dyDescent="0.2">
      <c r="A116" s="1683"/>
      <c r="B116" s="1684"/>
      <c r="C116" s="1724"/>
      <c r="D116" s="1680" t="s">
        <v>91</v>
      </c>
      <c r="E116" s="2023" t="s">
        <v>67</v>
      </c>
      <c r="F116" s="1963"/>
      <c r="G116" s="575"/>
      <c r="H116" s="93"/>
      <c r="I116" s="125"/>
      <c r="J116" s="109"/>
      <c r="K116" s="93"/>
      <c r="L116" s="125"/>
      <c r="M116" s="109"/>
      <c r="N116" s="93"/>
      <c r="O116" s="125"/>
      <c r="P116" s="109"/>
      <c r="Q116" s="699" t="s">
        <v>70</v>
      </c>
      <c r="R116" s="124">
        <v>16.899999999999999</v>
      </c>
      <c r="S116" s="411">
        <v>17.5</v>
      </c>
      <c r="T116" s="725">
        <v>18.2</v>
      </c>
      <c r="U116" s="1950"/>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row>
    <row r="117" spans="1:53" s="8" customFormat="1" ht="15.75" customHeight="1" x14ac:dyDescent="0.2">
      <c r="A117" s="1683"/>
      <c r="B117" s="1684"/>
      <c r="C117" s="1724"/>
      <c r="D117" s="1725"/>
      <c r="E117" s="2024"/>
      <c r="F117" s="1963"/>
      <c r="G117" s="248"/>
      <c r="H117" s="523"/>
      <c r="I117" s="524"/>
      <c r="J117" s="131"/>
      <c r="K117" s="523"/>
      <c r="L117" s="524"/>
      <c r="M117" s="85"/>
      <c r="N117" s="523"/>
      <c r="O117" s="524"/>
      <c r="P117" s="85"/>
      <c r="Q117" s="194" t="s">
        <v>51</v>
      </c>
      <c r="R117" s="386">
        <v>9.4</v>
      </c>
      <c r="S117" s="386">
        <v>9.6999999999999993</v>
      </c>
      <c r="T117" s="386">
        <v>10.1</v>
      </c>
      <c r="U117" s="1950"/>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c r="BA117" s="3"/>
    </row>
    <row r="118" spans="1:53" s="8" customFormat="1" ht="15" customHeight="1" x14ac:dyDescent="0.2">
      <c r="A118" s="659"/>
      <c r="B118" s="665"/>
      <c r="C118" s="661"/>
      <c r="D118" s="1679" t="s">
        <v>151</v>
      </c>
      <c r="E118" s="666"/>
      <c r="F118" s="653"/>
      <c r="G118" s="785"/>
      <c r="H118" s="675"/>
      <c r="I118" s="772"/>
      <c r="J118" s="779"/>
      <c r="K118" s="93"/>
      <c r="L118" s="125"/>
      <c r="M118" s="132"/>
      <c r="N118" s="93"/>
      <c r="O118" s="125"/>
      <c r="P118" s="132"/>
      <c r="Q118" s="700" t="s">
        <v>51</v>
      </c>
      <c r="R118" s="302">
        <v>0.4</v>
      </c>
      <c r="S118" s="302">
        <v>0.4</v>
      </c>
      <c r="T118" s="302">
        <v>0.4</v>
      </c>
      <c r="U118" s="1950"/>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c r="BA118" s="3"/>
    </row>
    <row r="119" spans="1:53" s="8" customFormat="1" ht="27" customHeight="1" x14ac:dyDescent="0.2">
      <c r="A119" s="659"/>
      <c r="B119" s="665"/>
      <c r="C119" s="661"/>
      <c r="D119" s="1680"/>
      <c r="E119" s="525"/>
      <c r="F119" s="653"/>
      <c r="G119" s="703"/>
      <c r="H119" s="675"/>
      <c r="I119" s="772"/>
      <c r="J119" s="779"/>
      <c r="K119" s="675"/>
      <c r="L119" s="689"/>
      <c r="M119" s="569"/>
      <c r="N119" s="675"/>
      <c r="O119" s="689"/>
      <c r="P119" s="569"/>
      <c r="Q119" s="41" t="s">
        <v>280</v>
      </c>
      <c r="R119" s="526">
        <v>1206</v>
      </c>
      <c r="S119" s="526">
        <v>1206</v>
      </c>
      <c r="T119" s="526">
        <v>1206</v>
      </c>
      <c r="U119" s="289"/>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c r="BA119" s="3"/>
    </row>
    <row r="120" spans="1:53" s="8" customFormat="1" ht="37.5" customHeight="1" x14ac:dyDescent="0.2">
      <c r="A120" s="659"/>
      <c r="B120" s="665"/>
      <c r="C120" s="661"/>
      <c r="D120" s="1680"/>
      <c r="E120" s="525"/>
      <c r="F120" s="653"/>
      <c r="G120" s="703"/>
      <c r="H120" s="675"/>
      <c r="I120" s="689"/>
      <c r="J120" s="569"/>
      <c r="K120" s="675"/>
      <c r="L120" s="689"/>
      <c r="M120" s="569"/>
      <c r="N120" s="675"/>
      <c r="O120" s="689"/>
      <c r="P120" s="569"/>
      <c r="Q120" s="41" t="s">
        <v>281</v>
      </c>
      <c r="R120" s="649">
        <v>22.2</v>
      </c>
      <c r="S120" s="650">
        <v>22.2</v>
      </c>
      <c r="T120" s="650">
        <v>22.2</v>
      </c>
      <c r="U120" s="420"/>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c r="AW120" s="3"/>
      <c r="AX120" s="3"/>
      <c r="AY120" s="3"/>
      <c r="AZ120" s="3"/>
      <c r="BA120" s="3"/>
    </row>
    <row r="121" spans="1:53" s="8" customFormat="1" ht="26.25" customHeight="1" x14ac:dyDescent="0.2">
      <c r="A121" s="659"/>
      <c r="B121" s="665"/>
      <c r="C121" s="782"/>
      <c r="D121" s="2030"/>
      <c r="E121" s="664"/>
      <c r="F121" s="653"/>
      <c r="G121" s="248"/>
      <c r="H121" s="523"/>
      <c r="I121" s="524"/>
      <c r="J121" s="131"/>
      <c r="K121" s="523"/>
      <c r="L121" s="524"/>
      <c r="M121" s="131"/>
      <c r="N121" s="523"/>
      <c r="O121" s="524"/>
      <c r="P121" s="131"/>
      <c r="Q121" s="527" t="s">
        <v>293</v>
      </c>
      <c r="R121" s="528">
        <v>3</v>
      </c>
      <c r="S121" s="65">
        <v>3</v>
      </c>
      <c r="T121" s="119">
        <v>3</v>
      </c>
      <c r="U121" s="471"/>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c r="BA121" s="3"/>
    </row>
    <row r="122" spans="1:53" s="8" customFormat="1" ht="13.5" customHeight="1" x14ac:dyDescent="0.2">
      <c r="A122" s="659"/>
      <c r="B122" s="665"/>
      <c r="C122" s="661"/>
      <c r="D122" s="1679" t="s">
        <v>259</v>
      </c>
      <c r="E122" s="662"/>
      <c r="F122" s="653"/>
      <c r="G122" s="785" t="s">
        <v>24</v>
      </c>
      <c r="H122" s="675"/>
      <c r="I122" s="772">
        <v>-28</v>
      </c>
      <c r="J122" s="779">
        <f>I122-H122</f>
        <v>-28</v>
      </c>
      <c r="K122" s="93"/>
      <c r="L122" s="125"/>
      <c r="M122" s="132"/>
      <c r="N122" s="93"/>
      <c r="O122" s="125"/>
      <c r="P122" s="132"/>
      <c r="Q122" s="687"/>
      <c r="R122" s="503"/>
      <c r="S122" s="118"/>
      <c r="T122" s="118"/>
      <c r="U122" s="1952" t="s">
        <v>341</v>
      </c>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c r="BA122" s="3"/>
    </row>
    <row r="123" spans="1:53" s="8" customFormat="1" ht="12.75" customHeight="1" x14ac:dyDescent="0.2">
      <c r="A123" s="659"/>
      <c r="B123" s="665"/>
      <c r="C123" s="631"/>
      <c r="D123" s="2031"/>
      <c r="E123" s="632"/>
      <c r="F123" s="696"/>
      <c r="G123" s="703"/>
      <c r="H123" s="675"/>
      <c r="I123" s="689"/>
      <c r="J123" s="569"/>
      <c r="K123" s="675"/>
      <c r="L123" s="689"/>
      <c r="M123" s="569"/>
      <c r="N123" s="675"/>
      <c r="O123" s="689"/>
      <c r="P123" s="569"/>
      <c r="Q123" s="701"/>
      <c r="R123" s="633"/>
      <c r="S123" s="470"/>
      <c r="T123" s="470"/>
      <c r="U123" s="1960"/>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c r="BA123" s="3"/>
    </row>
    <row r="124" spans="1:53" s="8" customFormat="1" ht="13.5" customHeight="1" x14ac:dyDescent="0.2">
      <c r="A124" s="659"/>
      <c r="B124" s="665"/>
      <c r="C124" s="2032" t="s">
        <v>228</v>
      </c>
      <c r="D124" s="559" t="s">
        <v>294</v>
      </c>
      <c r="E124" s="657"/>
      <c r="F124" s="696"/>
      <c r="G124" s="703"/>
      <c r="H124" s="675"/>
      <c r="I124" s="689"/>
      <c r="J124" s="569"/>
      <c r="K124" s="675"/>
      <c r="L124" s="689"/>
      <c r="M124" s="86"/>
      <c r="N124" s="675"/>
      <c r="O124" s="689"/>
      <c r="P124" s="569"/>
      <c r="Q124" s="890" t="s">
        <v>241</v>
      </c>
      <c r="R124" s="783">
        <v>9</v>
      </c>
      <c r="S124" s="497"/>
      <c r="T124" s="533"/>
      <c r="U124" s="1960"/>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c r="BA124" s="3"/>
    </row>
    <row r="125" spans="1:53" s="8" customFormat="1" ht="27" customHeight="1" x14ac:dyDescent="0.2">
      <c r="A125" s="659"/>
      <c r="B125" s="665"/>
      <c r="C125" s="1888"/>
      <c r="D125" s="559" t="s">
        <v>225</v>
      </c>
      <c r="E125" s="657"/>
      <c r="F125" s="696"/>
      <c r="G125" s="703"/>
      <c r="H125" s="675"/>
      <c r="I125" s="772"/>
      <c r="J125" s="779"/>
      <c r="K125" s="675"/>
      <c r="L125" s="689"/>
      <c r="M125" s="86"/>
      <c r="N125" s="675"/>
      <c r="O125" s="689"/>
      <c r="P125" s="86"/>
      <c r="Q125" s="895" t="s">
        <v>227</v>
      </c>
      <c r="R125" s="363">
        <v>100</v>
      </c>
      <c r="S125" s="117"/>
      <c r="T125" s="67"/>
      <c r="U125" s="1960"/>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c r="AW125" s="3"/>
      <c r="AX125" s="3"/>
      <c r="AY125" s="3"/>
      <c r="AZ125" s="3"/>
      <c r="BA125" s="3"/>
    </row>
    <row r="126" spans="1:53" s="8" customFormat="1" ht="13.5" customHeight="1" x14ac:dyDescent="0.2">
      <c r="A126" s="659"/>
      <c r="B126" s="665"/>
      <c r="C126" s="1888"/>
      <c r="D126" s="559" t="s">
        <v>240</v>
      </c>
      <c r="E126" s="657"/>
      <c r="F126" s="696"/>
      <c r="G126" s="703"/>
      <c r="H126" s="675"/>
      <c r="I126" s="689"/>
      <c r="J126" s="569"/>
      <c r="K126" s="675"/>
      <c r="L126" s="689"/>
      <c r="M126" s="86"/>
      <c r="N126" s="675"/>
      <c r="O126" s="689"/>
      <c r="P126" s="86"/>
      <c r="Q126" s="895"/>
      <c r="R126" s="363"/>
      <c r="S126" s="363"/>
      <c r="T126" s="67"/>
      <c r="U126" s="1960"/>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row>
    <row r="127" spans="1:53" s="8" customFormat="1" ht="39" customHeight="1" x14ac:dyDescent="0.2">
      <c r="A127" s="659"/>
      <c r="B127" s="665"/>
      <c r="C127" s="2033"/>
      <c r="D127" s="568" t="s">
        <v>295</v>
      </c>
      <c r="E127" s="632"/>
      <c r="F127" s="634"/>
      <c r="G127" s="370"/>
      <c r="H127" s="127"/>
      <c r="I127" s="516"/>
      <c r="J127" s="567"/>
      <c r="K127" s="127"/>
      <c r="L127" s="516"/>
      <c r="M127" s="515"/>
      <c r="N127" s="127"/>
      <c r="O127" s="516"/>
      <c r="P127" s="567"/>
      <c r="Q127" s="585"/>
      <c r="R127" s="633"/>
      <c r="S127" s="470"/>
      <c r="T127" s="584"/>
      <c r="U127" s="1960"/>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row>
    <row r="128" spans="1:53" s="8" customFormat="1" ht="15" customHeight="1" x14ac:dyDescent="0.2">
      <c r="A128" s="659"/>
      <c r="B128" s="665"/>
      <c r="C128" s="1888" t="s">
        <v>247</v>
      </c>
      <c r="D128" s="568" t="s">
        <v>223</v>
      </c>
      <c r="E128" s="657"/>
      <c r="F128" s="696"/>
      <c r="G128" s="703"/>
      <c r="H128" s="675"/>
      <c r="I128" s="689"/>
      <c r="J128" s="569"/>
      <c r="K128" s="675"/>
      <c r="L128" s="689"/>
      <c r="M128" s="86"/>
      <c r="N128" s="675"/>
      <c r="O128" s="689"/>
      <c r="P128" s="86"/>
      <c r="Q128" s="688" t="s">
        <v>241</v>
      </c>
      <c r="R128" s="363"/>
      <c r="S128" s="363">
        <v>2</v>
      </c>
      <c r="T128" s="117"/>
      <c r="U128" s="1950"/>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c r="BA128" s="3"/>
    </row>
    <row r="129" spans="1:53" s="8" customFormat="1" ht="18" customHeight="1" x14ac:dyDescent="0.2">
      <c r="A129" s="659"/>
      <c r="B129" s="665"/>
      <c r="C129" s="1888"/>
      <c r="D129" s="559" t="s">
        <v>226</v>
      </c>
      <c r="E129" s="657"/>
      <c r="F129" s="696"/>
      <c r="G129" s="703"/>
      <c r="H129" s="675"/>
      <c r="I129" s="689"/>
      <c r="J129" s="569"/>
      <c r="K129" s="675"/>
      <c r="L129" s="689"/>
      <c r="M129" s="86"/>
      <c r="N129" s="675"/>
      <c r="O129" s="689"/>
      <c r="P129" s="86"/>
      <c r="Q129" s="688" t="s">
        <v>227</v>
      </c>
      <c r="R129" s="363"/>
      <c r="S129" s="363">
        <v>50</v>
      </c>
      <c r="T129" s="363">
        <v>100</v>
      </c>
      <c r="U129" s="1958"/>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c r="AW129" s="3"/>
      <c r="AX129" s="3"/>
      <c r="AY129" s="3"/>
      <c r="AZ129" s="3"/>
      <c r="BA129" s="3"/>
    </row>
    <row r="130" spans="1:53" s="8" customFormat="1" ht="29.25" customHeight="1" x14ac:dyDescent="0.2">
      <c r="A130" s="659"/>
      <c r="B130" s="665"/>
      <c r="C130" s="1888"/>
      <c r="D130" s="559" t="s">
        <v>298</v>
      </c>
      <c r="E130" s="657"/>
      <c r="F130" s="696"/>
      <c r="G130" s="703"/>
      <c r="H130" s="675"/>
      <c r="I130" s="689"/>
      <c r="J130" s="569"/>
      <c r="K130" s="675"/>
      <c r="L130" s="689"/>
      <c r="M130" s="86"/>
      <c r="N130" s="675"/>
      <c r="O130" s="689"/>
      <c r="P130" s="86"/>
      <c r="Q130" s="688"/>
      <c r="R130" s="363"/>
      <c r="S130" s="363"/>
      <c r="T130" s="117"/>
      <c r="U130" s="1958"/>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c r="AW130" s="3"/>
      <c r="AX130" s="3"/>
      <c r="AY130" s="3"/>
      <c r="AZ130" s="3"/>
      <c r="BA130" s="3"/>
    </row>
    <row r="131" spans="1:53" s="8" customFormat="1" ht="15" customHeight="1" x14ac:dyDescent="0.2">
      <c r="A131" s="659"/>
      <c r="B131" s="665"/>
      <c r="C131" s="1888"/>
      <c r="D131" s="568" t="s">
        <v>315</v>
      </c>
      <c r="E131" s="657"/>
      <c r="F131" s="696"/>
      <c r="G131" s="805"/>
      <c r="H131" s="675"/>
      <c r="I131" s="689"/>
      <c r="J131" s="569"/>
      <c r="K131" s="675"/>
      <c r="L131" s="689"/>
      <c r="M131" s="86"/>
      <c r="N131" s="675"/>
      <c r="O131" s="689"/>
      <c r="P131" s="569"/>
      <c r="Q131" s="688"/>
      <c r="R131" s="363"/>
      <c r="S131" s="67"/>
      <c r="T131" s="117"/>
      <c r="U131" s="861"/>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c r="BA131" s="3"/>
    </row>
    <row r="132" spans="1:53" s="8" customFormat="1" ht="26.25" customHeight="1" x14ac:dyDescent="0.2">
      <c r="A132" s="801"/>
      <c r="B132" s="802"/>
      <c r="C132" s="817"/>
      <c r="D132" s="559" t="s">
        <v>316</v>
      </c>
      <c r="E132" s="803"/>
      <c r="F132" s="61"/>
      <c r="G132" s="366"/>
      <c r="H132" s="675"/>
      <c r="I132" s="689"/>
      <c r="J132" s="569"/>
      <c r="K132" s="675"/>
      <c r="L132" s="689"/>
      <c r="M132" s="86"/>
      <c r="N132" s="675"/>
      <c r="O132" s="689"/>
      <c r="P132" s="569"/>
      <c r="Q132" s="804"/>
      <c r="R132" s="363"/>
      <c r="S132" s="67"/>
      <c r="T132" s="117"/>
      <c r="U132" s="861"/>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c r="BA132" s="3"/>
    </row>
    <row r="133" spans="1:53" s="8" customFormat="1" ht="12" customHeight="1" x14ac:dyDescent="0.2">
      <c r="A133" s="801"/>
      <c r="B133" s="802"/>
      <c r="C133" s="817"/>
      <c r="D133" s="873" t="s">
        <v>314</v>
      </c>
      <c r="E133" s="803"/>
      <c r="F133" s="61"/>
      <c r="G133" s="365"/>
      <c r="H133" s="523"/>
      <c r="I133" s="524"/>
      <c r="J133" s="131"/>
      <c r="K133" s="523"/>
      <c r="L133" s="524"/>
      <c r="M133" s="85"/>
      <c r="N133" s="523"/>
      <c r="O133" s="524"/>
      <c r="P133" s="131"/>
      <c r="Q133" s="804"/>
      <c r="R133" s="363"/>
      <c r="S133" s="67"/>
      <c r="T133" s="117"/>
      <c r="U133" s="471"/>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row>
    <row r="134" spans="1:53" s="8" customFormat="1" ht="16.5" customHeight="1" thickBot="1" x14ac:dyDescent="0.25">
      <c r="A134" s="659"/>
      <c r="B134" s="660"/>
      <c r="C134" s="696"/>
      <c r="D134" s="607"/>
      <c r="E134" s="608"/>
      <c r="F134" s="531"/>
      <c r="G134" s="34" t="s">
        <v>6</v>
      </c>
      <c r="H134" s="155">
        <f t="shared" ref="H134:P134" si="5">SUM(H114:H131)</f>
        <v>2362.3000000000002</v>
      </c>
      <c r="I134" s="369">
        <f>SUM(I114:I131)</f>
        <v>2334.3000000000002</v>
      </c>
      <c r="J134" s="368">
        <f t="shared" si="5"/>
        <v>-28</v>
      </c>
      <c r="K134" s="155">
        <f t="shared" si="5"/>
        <v>2361.8000000000002</v>
      </c>
      <c r="L134" s="369">
        <f t="shared" si="5"/>
        <v>2361.8000000000002</v>
      </c>
      <c r="M134" s="368">
        <f t="shared" si="5"/>
        <v>0</v>
      </c>
      <c r="N134" s="155">
        <f t="shared" si="5"/>
        <v>2399.1999999999998</v>
      </c>
      <c r="O134" s="369">
        <f t="shared" si="5"/>
        <v>2399.1999999999998</v>
      </c>
      <c r="P134" s="368">
        <f t="shared" si="5"/>
        <v>0</v>
      </c>
      <c r="Q134" s="195"/>
      <c r="R134" s="356"/>
      <c r="S134" s="38"/>
      <c r="T134" s="356"/>
      <c r="U134" s="471"/>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c r="AW134" s="3"/>
      <c r="AX134" s="3"/>
      <c r="AY134" s="3"/>
      <c r="AZ134" s="3"/>
      <c r="BA134" s="3"/>
    </row>
    <row r="135" spans="1:53" s="8" customFormat="1" ht="15" customHeight="1" x14ac:dyDescent="0.2">
      <c r="A135" s="1730" t="s">
        <v>5</v>
      </c>
      <c r="B135" s="1731" t="s">
        <v>5</v>
      </c>
      <c r="C135" s="1733" t="s">
        <v>35</v>
      </c>
      <c r="D135" s="2028" t="s">
        <v>299</v>
      </c>
      <c r="E135" s="1977"/>
      <c r="F135" s="1980" t="s">
        <v>50</v>
      </c>
      <c r="G135" s="367" t="s">
        <v>24</v>
      </c>
      <c r="H135" s="111">
        <v>149.30000000000001</v>
      </c>
      <c r="I135" s="140">
        <f>152.3-3-11.3</f>
        <v>138</v>
      </c>
      <c r="J135" s="780">
        <f>I135-H135</f>
        <v>-11.3</v>
      </c>
      <c r="K135" s="111">
        <v>152.30000000000001</v>
      </c>
      <c r="L135" s="140">
        <v>152.30000000000001</v>
      </c>
      <c r="M135" s="110"/>
      <c r="N135" s="111">
        <v>152.30000000000001</v>
      </c>
      <c r="O135" s="140">
        <v>152.30000000000001</v>
      </c>
      <c r="P135" s="110"/>
      <c r="Q135" s="882" t="s">
        <v>112</v>
      </c>
      <c r="R135" s="39">
        <v>151</v>
      </c>
      <c r="S135" s="39">
        <v>151</v>
      </c>
      <c r="T135" s="821">
        <v>151</v>
      </c>
      <c r="U135" s="1975" t="s">
        <v>342</v>
      </c>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c r="AW135" s="3"/>
      <c r="AX135" s="3"/>
      <c r="AY135" s="3"/>
      <c r="AZ135" s="3"/>
      <c r="BA135" s="3"/>
    </row>
    <row r="136" spans="1:53" s="8" customFormat="1" ht="107.25" customHeight="1" x14ac:dyDescent="0.2">
      <c r="A136" s="1683"/>
      <c r="B136" s="1732"/>
      <c r="C136" s="1724"/>
      <c r="D136" s="1680"/>
      <c r="E136" s="1978"/>
      <c r="F136" s="1981"/>
      <c r="G136" s="365" t="s">
        <v>58</v>
      </c>
      <c r="H136" s="523">
        <v>135.19999999999999</v>
      </c>
      <c r="I136" s="524">
        <v>135.19999999999999</v>
      </c>
      <c r="J136" s="131"/>
      <c r="K136" s="523"/>
      <c r="L136" s="524"/>
      <c r="M136" s="131"/>
      <c r="N136" s="523"/>
      <c r="O136" s="524"/>
      <c r="P136" s="131"/>
      <c r="Q136" s="647" t="s">
        <v>317</v>
      </c>
      <c r="R136" s="893">
        <v>1</v>
      </c>
      <c r="S136" s="784"/>
      <c r="T136" s="822"/>
      <c r="U136" s="1951"/>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c r="AW136" s="3"/>
      <c r="AX136" s="3"/>
      <c r="AY136" s="3"/>
      <c r="AZ136" s="3"/>
      <c r="BA136" s="3"/>
    </row>
    <row r="137" spans="1:53" s="8" customFormat="1" ht="18.75" customHeight="1" thickBot="1" x14ac:dyDescent="0.25">
      <c r="A137" s="2025"/>
      <c r="B137" s="2026"/>
      <c r="C137" s="2027"/>
      <c r="D137" s="2029"/>
      <c r="E137" s="1979"/>
      <c r="F137" s="1982"/>
      <c r="G137" s="34" t="s">
        <v>6</v>
      </c>
      <c r="H137" s="155">
        <f t="shared" ref="H137:I137" si="6">SUM(H135:H136)</f>
        <v>284.5</v>
      </c>
      <c r="I137" s="369">
        <f t="shared" si="6"/>
        <v>273.2</v>
      </c>
      <c r="J137" s="368">
        <f t="shared" ref="J137:M137" si="7">SUM(J135:J136)</f>
        <v>-11.3</v>
      </c>
      <c r="K137" s="155">
        <f t="shared" ref="K137:L137" si="8">SUM(K135:K136)</f>
        <v>152.30000000000001</v>
      </c>
      <c r="L137" s="369">
        <f t="shared" si="8"/>
        <v>152.30000000000001</v>
      </c>
      <c r="M137" s="368">
        <f t="shared" si="7"/>
        <v>0</v>
      </c>
      <c r="N137" s="155">
        <f t="shared" ref="N137:P137" si="9">SUM(N135:N135)</f>
        <v>152.30000000000001</v>
      </c>
      <c r="O137" s="369">
        <f t="shared" ref="O137" si="10">SUM(O135:O135)</f>
        <v>152.30000000000001</v>
      </c>
      <c r="P137" s="320">
        <f t="shared" si="9"/>
        <v>0</v>
      </c>
      <c r="Q137" s="195"/>
      <c r="R137" s="38"/>
      <c r="S137" s="401"/>
      <c r="T137" s="356"/>
      <c r="U137" s="1976"/>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3"/>
      <c r="AW137" s="3"/>
      <c r="AX137" s="3"/>
      <c r="AY137" s="3"/>
      <c r="AZ137" s="3"/>
      <c r="BA137" s="3"/>
    </row>
    <row r="138" spans="1:53" s="8" customFormat="1" ht="15.75" customHeight="1" x14ac:dyDescent="0.2">
      <c r="A138" s="1730" t="s">
        <v>5</v>
      </c>
      <c r="B138" s="1731" t="s">
        <v>5</v>
      </c>
      <c r="C138" s="1733" t="s">
        <v>28</v>
      </c>
      <c r="D138" s="2028" t="s">
        <v>297</v>
      </c>
      <c r="E138" s="1977"/>
      <c r="F138" s="1980" t="s">
        <v>50</v>
      </c>
      <c r="G138" s="367" t="s">
        <v>24</v>
      </c>
      <c r="H138" s="111">
        <v>16.8</v>
      </c>
      <c r="I138" s="140">
        <v>16.8</v>
      </c>
      <c r="J138" s="164"/>
      <c r="K138" s="111">
        <v>16.8</v>
      </c>
      <c r="L138" s="140">
        <v>16.8</v>
      </c>
      <c r="M138" s="164"/>
      <c r="N138" s="111">
        <v>16.8</v>
      </c>
      <c r="O138" s="140">
        <v>16.8</v>
      </c>
      <c r="P138" s="164"/>
      <c r="Q138" s="1738" t="s">
        <v>296</v>
      </c>
      <c r="R138" s="39">
        <v>2</v>
      </c>
      <c r="S138" s="691">
        <v>2</v>
      </c>
      <c r="T138" s="117">
        <v>2</v>
      </c>
      <c r="U138" s="471"/>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row>
    <row r="139" spans="1:53" s="8" customFormat="1" ht="13.5" customHeight="1" x14ac:dyDescent="0.2">
      <c r="A139" s="1683"/>
      <c r="B139" s="1732"/>
      <c r="C139" s="1724"/>
      <c r="D139" s="1680"/>
      <c r="E139" s="1978"/>
      <c r="F139" s="1981"/>
      <c r="G139" s="365"/>
      <c r="H139" s="523"/>
      <c r="I139" s="524"/>
      <c r="J139" s="131"/>
      <c r="K139" s="372"/>
      <c r="L139" s="424"/>
      <c r="M139" s="376"/>
      <c r="N139" s="372"/>
      <c r="O139" s="424"/>
      <c r="P139" s="376"/>
      <c r="Q139" s="1968"/>
      <c r="R139" s="67"/>
      <c r="S139" s="691"/>
      <c r="T139" s="117"/>
      <c r="U139" s="471"/>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3"/>
      <c r="AW139" s="3"/>
      <c r="AX139" s="3"/>
      <c r="AY139" s="3"/>
      <c r="AZ139" s="3"/>
      <c r="BA139" s="3"/>
    </row>
    <row r="140" spans="1:53" s="8" customFormat="1" ht="16.5" customHeight="1" thickBot="1" x14ac:dyDescent="0.25">
      <c r="A140" s="2025"/>
      <c r="B140" s="2026"/>
      <c r="C140" s="2027"/>
      <c r="D140" s="2029"/>
      <c r="E140" s="1979"/>
      <c r="F140" s="1982"/>
      <c r="G140" s="34" t="s">
        <v>6</v>
      </c>
      <c r="H140" s="155">
        <f t="shared" ref="H140:P140" si="11">SUM(H138:H139)</f>
        <v>16.8</v>
      </c>
      <c r="I140" s="369">
        <f t="shared" si="11"/>
        <v>16.8</v>
      </c>
      <c r="J140" s="368">
        <f t="shared" si="11"/>
        <v>0</v>
      </c>
      <c r="K140" s="155">
        <f t="shared" si="11"/>
        <v>16.8</v>
      </c>
      <c r="L140" s="369">
        <f t="shared" si="11"/>
        <v>16.8</v>
      </c>
      <c r="M140" s="320">
        <f t="shared" si="11"/>
        <v>0</v>
      </c>
      <c r="N140" s="155">
        <f t="shared" si="11"/>
        <v>16.8</v>
      </c>
      <c r="O140" s="369">
        <f t="shared" si="11"/>
        <v>16.8</v>
      </c>
      <c r="P140" s="320">
        <f t="shared" si="11"/>
        <v>0</v>
      </c>
      <c r="Q140" s="800"/>
      <c r="R140" s="67"/>
      <c r="S140" s="691"/>
      <c r="T140" s="117"/>
      <c r="U140" s="471"/>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c r="AW140" s="3"/>
      <c r="AX140" s="3"/>
      <c r="AY140" s="3"/>
      <c r="AZ140" s="3"/>
      <c r="BA140" s="3"/>
    </row>
    <row r="141" spans="1:53" s="8" customFormat="1" ht="14.1" customHeight="1" x14ac:dyDescent="0.2">
      <c r="A141" s="670" t="s">
        <v>5</v>
      </c>
      <c r="B141" s="672" t="s">
        <v>5</v>
      </c>
      <c r="C141" s="673" t="s">
        <v>36</v>
      </c>
      <c r="D141" s="1665" t="s">
        <v>135</v>
      </c>
      <c r="E141" s="196" t="s">
        <v>47</v>
      </c>
      <c r="F141" s="690" t="s">
        <v>46</v>
      </c>
      <c r="G141" s="575" t="s">
        <v>24</v>
      </c>
      <c r="H141" s="111">
        <v>145.1</v>
      </c>
      <c r="I141" s="140">
        <v>145.1</v>
      </c>
      <c r="J141" s="900"/>
      <c r="K141" s="111">
        <v>2426.4</v>
      </c>
      <c r="L141" s="140">
        <v>2426.4</v>
      </c>
      <c r="M141" s="900"/>
      <c r="N141" s="111">
        <v>3076.3</v>
      </c>
      <c r="O141" s="140">
        <v>3076.3</v>
      </c>
      <c r="P141" s="900"/>
      <c r="Q141" s="2034"/>
      <c r="R141" s="104"/>
      <c r="S141" s="412"/>
      <c r="T141" s="412"/>
      <c r="U141" s="170"/>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3"/>
      <c r="AW141" s="3"/>
      <c r="AX141" s="3"/>
      <c r="AY141" s="3"/>
      <c r="AZ141" s="3"/>
      <c r="BA141" s="3"/>
    </row>
    <row r="142" spans="1:53" s="8" customFormat="1" ht="14.1" customHeight="1" x14ac:dyDescent="0.2">
      <c r="A142" s="659"/>
      <c r="B142" s="665"/>
      <c r="C142" s="661"/>
      <c r="D142" s="1707"/>
      <c r="E142" s="227"/>
      <c r="F142" s="653"/>
      <c r="G142" s="703" t="s">
        <v>58</v>
      </c>
      <c r="H142" s="675">
        <v>753.9</v>
      </c>
      <c r="I142" s="689">
        <v>753.9</v>
      </c>
      <c r="J142" s="83"/>
      <c r="K142" s="675"/>
      <c r="L142" s="689"/>
      <c r="M142" s="83"/>
      <c r="N142" s="675"/>
      <c r="O142" s="689"/>
      <c r="P142" s="83"/>
      <c r="Q142" s="1775"/>
      <c r="R142" s="105"/>
      <c r="S142" s="259"/>
      <c r="T142" s="259"/>
      <c r="U142" s="171"/>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3"/>
      <c r="AW142" s="3"/>
      <c r="AX142" s="3"/>
      <c r="AY142" s="3"/>
      <c r="AZ142" s="3"/>
      <c r="BA142" s="3"/>
    </row>
    <row r="143" spans="1:53" s="8" customFormat="1" ht="14.1" customHeight="1" x14ac:dyDescent="0.2">
      <c r="A143" s="659"/>
      <c r="B143" s="665"/>
      <c r="C143" s="661"/>
      <c r="D143" s="1707"/>
      <c r="E143" s="227"/>
      <c r="F143" s="653"/>
      <c r="G143" s="703" t="s">
        <v>248</v>
      </c>
      <c r="H143" s="675">
        <v>142.1</v>
      </c>
      <c r="I143" s="689">
        <v>142.1</v>
      </c>
      <c r="J143" s="83"/>
      <c r="K143" s="675">
        <v>368</v>
      </c>
      <c r="L143" s="689">
        <v>368</v>
      </c>
      <c r="M143" s="83"/>
      <c r="N143" s="675">
        <v>245.8</v>
      </c>
      <c r="O143" s="689">
        <v>245.8</v>
      </c>
      <c r="P143" s="83"/>
      <c r="Q143" s="1775"/>
      <c r="R143" s="105"/>
      <c r="S143" s="259"/>
      <c r="T143" s="259"/>
      <c r="U143" s="171"/>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3"/>
      <c r="AW143" s="3"/>
      <c r="AX143" s="3"/>
      <c r="AY143" s="3"/>
      <c r="AZ143" s="3"/>
      <c r="BA143" s="3"/>
    </row>
    <row r="144" spans="1:53" s="8" customFormat="1" ht="14.1" customHeight="1" x14ac:dyDescent="0.2">
      <c r="A144" s="659"/>
      <c r="B144" s="665"/>
      <c r="C144" s="661"/>
      <c r="D144" s="1707"/>
      <c r="E144" s="227"/>
      <c r="F144" s="653"/>
      <c r="G144" s="703" t="s">
        <v>249</v>
      </c>
      <c r="H144" s="675">
        <v>1611.5</v>
      </c>
      <c r="I144" s="689">
        <v>1611.5</v>
      </c>
      <c r="J144" s="83"/>
      <c r="K144" s="675">
        <v>4169.2</v>
      </c>
      <c r="L144" s="689">
        <v>4169.2</v>
      </c>
      <c r="M144" s="83"/>
      <c r="N144" s="675">
        <v>2784.9</v>
      </c>
      <c r="O144" s="689">
        <v>2784.9</v>
      </c>
      <c r="P144" s="83"/>
      <c r="Q144" s="1775"/>
      <c r="R144" s="105"/>
      <c r="S144" s="259"/>
      <c r="T144" s="259"/>
      <c r="U144" s="171"/>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c r="AW144" s="3"/>
      <c r="AX144" s="3"/>
      <c r="AY144" s="3"/>
      <c r="AZ144" s="3"/>
      <c r="BA144" s="3"/>
    </row>
    <row r="145" spans="1:53" s="8" customFormat="1" ht="14.1" customHeight="1" x14ac:dyDescent="0.2">
      <c r="A145" s="659"/>
      <c r="B145" s="665"/>
      <c r="C145" s="661"/>
      <c r="D145" s="1707"/>
      <c r="E145" s="227"/>
      <c r="F145" s="653"/>
      <c r="G145" s="703" t="s">
        <v>48</v>
      </c>
      <c r="H145" s="675">
        <v>737.4</v>
      </c>
      <c r="I145" s="689">
        <v>737.4</v>
      </c>
      <c r="J145" s="83"/>
      <c r="K145" s="675">
        <v>2382.8000000000002</v>
      </c>
      <c r="L145" s="689">
        <v>2382.8000000000002</v>
      </c>
      <c r="M145" s="83"/>
      <c r="N145" s="675">
        <v>4897.1000000000004</v>
      </c>
      <c r="O145" s="689">
        <v>4897.1000000000004</v>
      </c>
      <c r="P145" s="83"/>
      <c r="Q145" s="1775"/>
      <c r="R145" s="105"/>
      <c r="S145" s="259"/>
      <c r="T145" s="259"/>
      <c r="U145" s="171"/>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c r="AT145" s="3"/>
      <c r="AU145" s="3"/>
      <c r="AV145" s="3"/>
      <c r="AW145" s="3"/>
      <c r="AX145" s="3"/>
      <c r="AY145" s="3"/>
      <c r="AZ145" s="3"/>
      <c r="BA145" s="3"/>
    </row>
    <row r="146" spans="1:53" s="8" customFormat="1" ht="19.5" customHeight="1" x14ac:dyDescent="0.2">
      <c r="A146" s="659"/>
      <c r="B146" s="665"/>
      <c r="C146" s="661"/>
      <c r="D146" s="1707"/>
      <c r="E146" s="667"/>
      <c r="F146" s="653"/>
      <c r="G146" s="703" t="s">
        <v>168</v>
      </c>
      <c r="H146" s="675">
        <v>65.099999999999994</v>
      </c>
      <c r="I146" s="689">
        <v>65.099999999999994</v>
      </c>
      <c r="J146" s="83"/>
      <c r="K146" s="675">
        <v>210.3</v>
      </c>
      <c r="L146" s="689">
        <v>210.3</v>
      </c>
      <c r="M146" s="83"/>
      <c r="N146" s="675">
        <v>432.1</v>
      </c>
      <c r="O146" s="689">
        <v>432.1</v>
      </c>
      <c r="P146" s="83"/>
      <c r="Q146" s="1775"/>
      <c r="R146" s="105"/>
      <c r="S146" s="259"/>
      <c r="T146" s="259"/>
      <c r="U146" s="171"/>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c r="AW146" s="3"/>
      <c r="AX146" s="3"/>
      <c r="AY146" s="3"/>
      <c r="AZ146" s="3"/>
      <c r="BA146" s="3"/>
    </row>
    <row r="147" spans="1:53" s="8" customFormat="1" ht="11.25" customHeight="1" x14ac:dyDescent="0.2">
      <c r="A147" s="874"/>
      <c r="B147" s="879"/>
      <c r="C147" s="876"/>
      <c r="D147" s="881"/>
      <c r="E147" s="880"/>
      <c r="F147" s="878"/>
      <c r="G147" s="896" t="s">
        <v>49</v>
      </c>
      <c r="H147" s="523"/>
      <c r="I147" s="524"/>
      <c r="J147" s="85"/>
      <c r="K147" s="675">
        <v>937.3</v>
      </c>
      <c r="L147" s="689">
        <v>937.3</v>
      </c>
      <c r="M147" s="85"/>
      <c r="N147" s="675">
        <v>937.3</v>
      </c>
      <c r="O147" s="689">
        <v>937.3</v>
      </c>
      <c r="P147" s="131"/>
      <c r="Q147" s="884"/>
      <c r="R147" s="105"/>
      <c r="S147" s="259"/>
      <c r="T147" s="259"/>
      <c r="U147" s="171"/>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c r="AW147" s="3"/>
      <c r="AX147" s="3"/>
      <c r="AY147" s="3"/>
      <c r="AZ147" s="3"/>
      <c r="BA147" s="3"/>
    </row>
    <row r="148" spans="1:53" s="8" customFormat="1" ht="16.5" customHeight="1" x14ac:dyDescent="0.2">
      <c r="A148" s="659"/>
      <c r="B148" s="665"/>
      <c r="C148" s="661"/>
      <c r="D148" s="1679" t="s">
        <v>145</v>
      </c>
      <c r="E148" s="2035" t="s">
        <v>88</v>
      </c>
      <c r="F148" s="1963"/>
      <c r="G148" s="575"/>
      <c r="H148" s="93"/>
      <c r="I148" s="125"/>
      <c r="J148" s="109"/>
      <c r="K148" s="93"/>
      <c r="L148" s="806"/>
      <c r="M148" s="807"/>
      <c r="N148" s="93"/>
      <c r="O148" s="806"/>
      <c r="P148" s="807"/>
      <c r="Q148" s="796" t="s">
        <v>87</v>
      </c>
      <c r="R148" s="33">
        <v>1</v>
      </c>
      <c r="S148" s="118"/>
      <c r="T148" s="118"/>
      <c r="U148" s="1950"/>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3"/>
      <c r="AW148" s="3"/>
      <c r="AX148" s="3"/>
      <c r="AY148" s="3"/>
      <c r="AZ148" s="3"/>
      <c r="BA148" s="3"/>
    </row>
    <row r="149" spans="1:53" s="8" customFormat="1" ht="18" customHeight="1" x14ac:dyDescent="0.2">
      <c r="A149" s="659"/>
      <c r="B149" s="665"/>
      <c r="C149" s="661"/>
      <c r="D149" s="1680"/>
      <c r="E149" s="2036"/>
      <c r="F149" s="1963"/>
      <c r="G149" s="825"/>
      <c r="H149" s="675"/>
      <c r="I149" s="772"/>
      <c r="J149" s="773"/>
      <c r="K149" s="675"/>
      <c r="L149" s="689"/>
      <c r="M149" s="569"/>
      <c r="N149" s="675"/>
      <c r="O149" s="689"/>
      <c r="P149" s="569"/>
      <c r="Q149" s="1763" t="s">
        <v>113</v>
      </c>
      <c r="R149" s="67"/>
      <c r="S149" s="893">
        <v>30</v>
      </c>
      <c r="T149" s="117">
        <v>60</v>
      </c>
      <c r="U149" s="1951"/>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row>
    <row r="150" spans="1:53" s="8" customFormat="1" ht="15" customHeight="1" x14ac:dyDescent="0.2">
      <c r="A150" s="659"/>
      <c r="B150" s="665"/>
      <c r="C150" s="661"/>
      <c r="D150" s="1725"/>
      <c r="E150" s="2037"/>
      <c r="F150" s="1963"/>
      <c r="G150" s="248"/>
      <c r="H150" s="523"/>
      <c r="I150" s="524"/>
      <c r="J150" s="85"/>
      <c r="K150" s="523"/>
      <c r="L150" s="524"/>
      <c r="M150" s="131"/>
      <c r="N150" s="523"/>
      <c r="O150" s="424"/>
      <c r="P150" s="376"/>
      <c r="Q150" s="1911"/>
      <c r="R150" s="65"/>
      <c r="S150" s="119"/>
      <c r="T150" s="119"/>
      <c r="U150" s="1951"/>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3"/>
      <c r="AW150" s="3"/>
      <c r="AX150" s="3"/>
      <c r="AY150" s="3"/>
      <c r="AZ150" s="3"/>
      <c r="BA150" s="3"/>
    </row>
    <row r="151" spans="1:53" s="8" customFormat="1" ht="15.75" customHeight="1" x14ac:dyDescent="0.2">
      <c r="A151" s="659"/>
      <c r="B151" s="665"/>
      <c r="C151" s="661"/>
      <c r="D151" s="1679" t="s">
        <v>173</v>
      </c>
      <c r="E151" s="2038" t="s">
        <v>64</v>
      </c>
      <c r="F151" s="1963"/>
      <c r="G151" s="575" t="s">
        <v>249</v>
      </c>
      <c r="H151" s="675"/>
      <c r="I151" s="772">
        <v>-968.3</v>
      </c>
      <c r="J151" s="773">
        <f>I151-H151</f>
        <v>-968.3</v>
      </c>
      <c r="K151" s="675"/>
      <c r="L151" s="772">
        <v>968.3</v>
      </c>
      <c r="M151" s="809">
        <f>L151-K151</f>
        <v>968.3</v>
      </c>
      <c r="N151" s="675"/>
      <c r="O151" s="772"/>
      <c r="P151" s="809"/>
      <c r="Q151" s="796" t="s">
        <v>87</v>
      </c>
      <c r="R151" s="33">
        <v>1</v>
      </c>
      <c r="S151" s="118"/>
      <c r="T151" s="118"/>
      <c r="U151" s="1952" t="s">
        <v>346</v>
      </c>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3"/>
      <c r="AW151" s="3"/>
      <c r="AX151" s="3"/>
      <c r="AY151" s="3"/>
      <c r="AZ151" s="3"/>
      <c r="BA151" s="3"/>
    </row>
    <row r="152" spans="1:53" s="8" customFormat="1" ht="32.25" customHeight="1" x14ac:dyDescent="0.2">
      <c r="A152" s="659"/>
      <c r="B152" s="665"/>
      <c r="C152" s="661"/>
      <c r="D152" s="1680"/>
      <c r="E152" s="2044"/>
      <c r="F152" s="1963"/>
      <c r="G152" s="825" t="s">
        <v>248</v>
      </c>
      <c r="H152" s="826"/>
      <c r="I152" s="979">
        <v>-85.4</v>
      </c>
      <c r="J152" s="980">
        <f>I152-H152</f>
        <v>-85.4</v>
      </c>
      <c r="K152" s="675"/>
      <c r="L152" s="772">
        <v>85.4</v>
      </c>
      <c r="M152" s="809">
        <f>L152-K152</f>
        <v>85.4</v>
      </c>
      <c r="N152" s="675"/>
      <c r="O152" s="772"/>
      <c r="P152" s="809"/>
      <c r="Q152" s="1758" t="s">
        <v>114</v>
      </c>
      <c r="R152" s="981" t="s">
        <v>215</v>
      </c>
      <c r="S152" s="117">
        <v>50</v>
      </c>
      <c r="T152" s="117">
        <v>100</v>
      </c>
      <c r="U152" s="1950"/>
      <c r="V152" s="3"/>
      <c r="W152" s="3"/>
      <c r="X152" s="3"/>
      <c r="Y152" s="3"/>
      <c r="Z152" s="3"/>
      <c r="AA152" s="3"/>
      <c r="AB152" s="3"/>
      <c r="AC152" s="3"/>
      <c r="AD152" s="3"/>
      <c r="AE152" s="3"/>
      <c r="AF152" s="3"/>
      <c r="AG152" s="3"/>
      <c r="AH152" s="3"/>
      <c r="AI152" s="3"/>
      <c r="AJ152" s="3"/>
      <c r="AK152" s="3"/>
      <c r="AL152" s="3"/>
      <c r="AM152" s="3"/>
      <c r="AN152" s="3"/>
      <c r="AO152" s="3"/>
      <c r="AP152" s="3"/>
      <c r="AQ152" s="3"/>
      <c r="AR152" s="3"/>
      <c r="AS152" s="3"/>
      <c r="AT152" s="3"/>
      <c r="AU152" s="3"/>
      <c r="AV152" s="3"/>
      <c r="AW152" s="3"/>
      <c r="AX152" s="3"/>
      <c r="AY152" s="3"/>
      <c r="AZ152" s="3"/>
      <c r="BA152" s="3"/>
    </row>
    <row r="153" spans="1:53" s="8" customFormat="1" ht="55.5" customHeight="1" x14ac:dyDescent="0.2">
      <c r="A153" s="659"/>
      <c r="B153" s="665"/>
      <c r="C153" s="661"/>
      <c r="D153" s="1680"/>
      <c r="E153" s="2044"/>
      <c r="F153" s="1963"/>
      <c r="G153" s="825"/>
      <c r="H153" s="863"/>
      <c r="I153" s="864"/>
      <c r="J153" s="85"/>
      <c r="K153" s="523"/>
      <c r="L153" s="424"/>
      <c r="M153" s="865"/>
      <c r="N153" s="523"/>
      <c r="O153" s="424"/>
      <c r="P153" s="865"/>
      <c r="Q153" s="1964"/>
      <c r="R153" s="893"/>
      <c r="S153" s="117"/>
      <c r="T153" s="117"/>
      <c r="U153" s="1969"/>
      <c r="V153" s="3"/>
      <c r="W153" s="3"/>
      <c r="X153" s="3"/>
      <c r="Y153" s="3"/>
      <c r="Z153" s="3"/>
      <c r="AA153" s="3"/>
      <c r="AB153" s="3"/>
      <c r="AC153" s="3"/>
      <c r="AD153" s="3"/>
      <c r="AE153" s="3"/>
      <c r="AF153" s="3"/>
      <c r="AG153" s="3"/>
      <c r="AH153" s="3"/>
      <c r="AI153" s="3"/>
      <c r="AJ153" s="3"/>
      <c r="AK153" s="3"/>
      <c r="AL153" s="3"/>
      <c r="AM153" s="3"/>
      <c r="AN153" s="3"/>
      <c r="AO153" s="3"/>
      <c r="AP153" s="3"/>
      <c r="AQ153" s="3"/>
      <c r="AR153" s="3"/>
      <c r="AS153" s="3"/>
      <c r="AT153" s="3"/>
      <c r="AU153" s="3"/>
      <c r="AV153" s="3"/>
      <c r="AW153" s="3"/>
      <c r="AX153" s="3"/>
      <c r="AY153" s="3"/>
      <c r="AZ153" s="3"/>
      <c r="BA153" s="3"/>
    </row>
    <row r="154" spans="1:53" s="8" customFormat="1" ht="18" customHeight="1" x14ac:dyDescent="0.2">
      <c r="A154" s="659"/>
      <c r="B154" s="665"/>
      <c r="C154" s="661"/>
      <c r="D154" s="1679" t="s">
        <v>300</v>
      </c>
      <c r="E154" s="1965" t="s">
        <v>261</v>
      </c>
      <c r="F154" s="1963"/>
      <c r="G154" s="575" t="s">
        <v>249</v>
      </c>
      <c r="H154" s="675"/>
      <c r="I154" s="772">
        <v>-120.2</v>
      </c>
      <c r="J154" s="773">
        <f>I154-H154</f>
        <v>-120.2</v>
      </c>
      <c r="K154" s="675"/>
      <c r="L154" s="772">
        <v>120.2</v>
      </c>
      <c r="M154" s="773">
        <f>L154-K154</f>
        <v>120.2</v>
      </c>
      <c r="N154" s="789"/>
      <c r="O154" s="772"/>
      <c r="P154" s="779"/>
      <c r="Q154" s="885" t="s">
        <v>87</v>
      </c>
      <c r="R154" s="33">
        <v>1</v>
      </c>
      <c r="S154" s="118"/>
      <c r="T154" s="118"/>
      <c r="U154" s="1952" t="s">
        <v>347</v>
      </c>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c r="AT154" s="3"/>
      <c r="AU154" s="3"/>
      <c r="AV154" s="3"/>
      <c r="AW154" s="3"/>
      <c r="AX154" s="3"/>
      <c r="AY154" s="3"/>
      <c r="AZ154" s="3"/>
      <c r="BA154" s="3"/>
    </row>
    <row r="155" spans="1:53" s="8" customFormat="1" ht="29.25" customHeight="1" x14ac:dyDescent="0.2">
      <c r="A155" s="659"/>
      <c r="B155" s="665"/>
      <c r="C155" s="661"/>
      <c r="D155" s="1680"/>
      <c r="E155" s="1966"/>
      <c r="F155" s="1963"/>
      <c r="G155" s="978" t="s">
        <v>248</v>
      </c>
      <c r="H155" s="675"/>
      <c r="I155" s="772">
        <v>-10.5</v>
      </c>
      <c r="J155" s="810">
        <f>I155-H155</f>
        <v>-10.5</v>
      </c>
      <c r="K155" s="675"/>
      <c r="L155" s="772">
        <v>10.5</v>
      </c>
      <c r="M155" s="810">
        <f>L155-K155</f>
        <v>10.5</v>
      </c>
      <c r="N155" s="789"/>
      <c r="O155" s="772"/>
      <c r="P155" s="779"/>
      <c r="Q155" s="868" t="s">
        <v>115</v>
      </c>
      <c r="R155" s="982" t="s">
        <v>344</v>
      </c>
      <c r="S155" s="117">
        <v>35</v>
      </c>
      <c r="T155" s="117">
        <v>100</v>
      </c>
      <c r="U155" s="1953"/>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3"/>
      <c r="AW155" s="3"/>
      <c r="AX155" s="3"/>
      <c r="AY155" s="3"/>
      <c r="AZ155" s="3"/>
      <c r="BA155" s="3"/>
    </row>
    <row r="156" spans="1:53" s="8" customFormat="1" ht="21" customHeight="1" x14ac:dyDescent="0.2">
      <c r="A156" s="659"/>
      <c r="B156" s="665"/>
      <c r="C156" s="661"/>
      <c r="D156" s="1725"/>
      <c r="E156" s="1967"/>
      <c r="F156" s="1963"/>
      <c r="G156" s="248"/>
      <c r="H156" s="523"/>
      <c r="I156" s="424"/>
      <c r="J156" s="811"/>
      <c r="K156" s="523"/>
      <c r="L156" s="424"/>
      <c r="M156" s="811"/>
      <c r="N156" s="372"/>
      <c r="O156" s="424"/>
      <c r="P156" s="376"/>
      <c r="Q156" s="894"/>
      <c r="R156" s="65"/>
      <c r="S156" s="119"/>
      <c r="T156" s="119"/>
      <c r="U156" s="1954"/>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c r="AT156" s="3"/>
      <c r="AU156" s="3"/>
      <c r="AV156" s="3"/>
      <c r="AW156" s="3"/>
      <c r="AX156" s="3"/>
      <c r="AY156" s="3"/>
      <c r="AZ156" s="3"/>
      <c r="BA156" s="3"/>
    </row>
    <row r="157" spans="1:53" s="8" customFormat="1" ht="15" customHeight="1" x14ac:dyDescent="0.2">
      <c r="A157" s="659"/>
      <c r="B157" s="665"/>
      <c r="C157" s="661"/>
      <c r="D157" s="1760" t="s">
        <v>197</v>
      </c>
      <c r="E157" s="1966" t="s">
        <v>263</v>
      </c>
      <c r="F157" s="653"/>
      <c r="G157" s="142"/>
      <c r="H157" s="828"/>
      <c r="I157" s="249"/>
      <c r="J157" s="228"/>
      <c r="K157" s="828"/>
      <c r="L157" s="812"/>
      <c r="M157" s="813"/>
      <c r="N157" s="831"/>
      <c r="O157" s="812"/>
      <c r="P157" s="813"/>
      <c r="Q157" s="885" t="s">
        <v>87</v>
      </c>
      <c r="R157" s="117">
        <v>1</v>
      </c>
      <c r="S157" s="117"/>
      <c r="T157" s="117"/>
      <c r="U157" s="1950"/>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c r="AT157" s="3"/>
      <c r="AU157" s="3"/>
      <c r="AV157" s="3"/>
      <c r="AW157" s="3"/>
      <c r="AX157" s="3"/>
      <c r="AY157" s="3"/>
      <c r="AZ157" s="3"/>
      <c r="BA157" s="3"/>
    </row>
    <row r="158" spans="1:53" s="8" customFormat="1" ht="13.5" customHeight="1" x14ac:dyDescent="0.2">
      <c r="A158" s="659"/>
      <c r="B158" s="665"/>
      <c r="C158" s="661"/>
      <c r="D158" s="1760"/>
      <c r="E158" s="1966"/>
      <c r="F158" s="653"/>
      <c r="G158" s="142"/>
      <c r="H158" s="828"/>
      <c r="I158" s="249"/>
      <c r="J158" s="228"/>
      <c r="K158" s="828"/>
      <c r="L158" s="812"/>
      <c r="M158" s="813"/>
      <c r="N158" s="831"/>
      <c r="O158" s="812"/>
      <c r="P158" s="813"/>
      <c r="Q158" s="1758" t="s">
        <v>186</v>
      </c>
      <c r="R158" s="117"/>
      <c r="S158" s="117">
        <v>50</v>
      </c>
      <c r="T158" s="117">
        <v>100</v>
      </c>
      <c r="U158" s="195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c r="AW158" s="3"/>
      <c r="AX158" s="3"/>
      <c r="AY158" s="3"/>
      <c r="AZ158" s="3"/>
      <c r="BA158" s="3"/>
    </row>
    <row r="159" spans="1:53" s="8" customFormat="1" ht="20.25" customHeight="1" x14ac:dyDescent="0.2">
      <c r="A159" s="659"/>
      <c r="B159" s="665"/>
      <c r="C159" s="661"/>
      <c r="D159" s="1761"/>
      <c r="E159" s="2005"/>
      <c r="F159" s="1963"/>
      <c r="G159" s="143"/>
      <c r="H159" s="523"/>
      <c r="I159" s="524"/>
      <c r="J159" s="85"/>
      <c r="K159" s="523"/>
      <c r="L159" s="524"/>
      <c r="M159" s="131"/>
      <c r="N159" s="523"/>
      <c r="O159" s="524"/>
      <c r="P159" s="376"/>
      <c r="Q159" s="1762"/>
      <c r="R159" s="169"/>
      <c r="S159" s="119"/>
      <c r="T159" s="119"/>
      <c r="U159" s="1953"/>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c r="AW159" s="3"/>
      <c r="AX159" s="3"/>
      <c r="AY159" s="3"/>
      <c r="AZ159" s="3"/>
      <c r="BA159" s="3"/>
    </row>
    <row r="160" spans="1:53" s="8" customFormat="1" ht="15" customHeight="1" x14ac:dyDescent="0.2">
      <c r="A160" s="659"/>
      <c r="B160" s="665"/>
      <c r="C160" s="661"/>
      <c r="D160" s="1679" t="s">
        <v>144</v>
      </c>
      <c r="E160" s="1965" t="s">
        <v>88</v>
      </c>
      <c r="F160" s="1963"/>
      <c r="G160" s="575" t="s">
        <v>249</v>
      </c>
      <c r="H160" s="828"/>
      <c r="I160" s="812">
        <v>-513.6</v>
      </c>
      <c r="J160" s="980">
        <f>I160-H160</f>
        <v>-513.6</v>
      </c>
      <c r="K160" s="828"/>
      <c r="L160" s="812">
        <v>513.6</v>
      </c>
      <c r="M160" s="980">
        <f>L160-K160</f>
        <v>513.6</v>
      </c>
      <c r="N160" s="828"/>
      <c r="O160" s="249"/>
      <c r="P160" s="120"/>
      <c r="Q160" s="885" t="s">
        <v>87</v>
      </c>
      <c r="R160" s="117">
        <v>1</v>
      </c>
      <c r="S160" s="117"/>
      <c r="T160" s="117"/>
      <c r="U160" s="1952" t="s">
        <v>348</v>
      </c>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row>
    <row r="161" spans="1:53" s="8" customFormat="1" ht="19.5" customHeight="1" x14ac:dyDescent="0.2">
      <c r="A161" s="659"/>
      <c r="B161" s="665"/>
      <c r="C161" s="661"/>
      <c r="D161" s="1680"/>
      <c r="E161" s="1966"/>
      <c r="F161" s="1963"/>
      <c r="G161" s="978" t="s">
        <v>248</v>
      </c>
      <c r="H161" s="828"/>
      <c r="I161" s="812">
        <v>-45.3</v>
      </c>
      <c r="J161" s="980">
        <f>I161-H161</f>
        <v>-45.3</v>
      </c>
      <c r="K161" s="828"/>
      <c r="L161" s="812">
        <v>45.3</v>
      </c>
      <c r="M161" s="980">
        <f>L161-K161</f>
        <v>45.3</v>
      </c>
      <c r="N161" s="828"/>
      <c r="O161" s="249"/>
      <c r="P161" s="120"/>
      <c r="Q161" s="1758" t="s">
        <v>143</v>
      </c>
      <c r="R161" s="983" t="s">
        <v>345</v>
      </c>
      <c r="S161" s="117">
        <v>100</v>
      </c>
      <c r="T161" s="117"/>
      <c r="U161" s="1953"/>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3"/>
      <c r="AW161" s="3"/>
      <c r="AX161" s="3"/>
      <c r="AY161" s="3"/>
      <c r="AZ161" s="3"/>
      <c r="BA161" s="3"/>
    </row>
    <row r="162" spans="1:53" s="8" customFormat="1" ht="45" customHeight="1" x14ac:dyDescent="0.2">
      <c r="A162" s="659"/>
      <c r="B162" s="665"/>
      <c r="C162" s="661"/>
      <c r="D162" s="1725"/>
      <c r="E162" s="1966"/>
      <c r="F162" s="1963"/>
      <c r="G162" s="143"/>
      <c r="H162" s="523"/>
      <c r="I162" s="524"/>
      <c r="J162" s="85"/>
      <c r="K162" s="523"/>
      <c r="L162" s="524"/>
      <c r="M162" s="131"/>
      <c r="N162" s="523"/>
      <c r="O162" s="524"/>
      <c r="P162" s="131"/>
      <c r="Q162" s="1762"/>
      <c r="R162" s="119"/>
      <c r="S162" s="119"/>
      <c r="T162" s="119"/>
      <c r="U162" s="1954"/>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3"/>
      <c r="AW162" s="3"/>
      <c r="AX162" s="3"/>
      <c r="AY162" s="3"/>
      <c r="AZ162" s="3"/>
      <c r="BA162" s="3"/>
    </row>
    <row r="163" spans="1:53" s="8" customFormat="1" ht="13.5" customHeight="1" x14ac:dyDescent="0.2">
      <c r="A163" s="659"/>
      <c r="B163" s="665"/>
      <c r="C163" s="661"/>
      <c r="D163" s="2040" t="s">
        <v>146</v>
      </c>
      <c r="E163" s="1965" t="s">
        <v>88</v>
      </c>
      <c r="F163" s="1963"/>
      <c r="G163" s="142"/>
      <c r="H163" s="675"/>
      <c r="I163" s="689"/>
      <c r="J163" s="86"/>
      <c r="K163" s="93"/>
      <c r="L163" s="806"/>
      <c r="M163" s="807"/>
      <c r="N163" s="93"/>
      <c r="O163" s="806"/>
      <c r="P163" s="807"/>
      <c r="Q163" s="885" t="s">
        <v>87</v>
      </c>
      <c r="R163" s="145">
        <v>1</v>
      </c>
      <c r="S163" s="117"/>
      <c r="T163" s="117"/>
      <c r="U163" s="1950"/>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c r="AT163" s="3"/>
      <c r="AU163" s="3"/>
      <c r="AV163" s="3"/>
      <c r="AW163" s="3"/>
      <c r="AX163" s="3"/>
      <c r="AY163" s="3"/>
      <c r="AZ163" s="3"/>
      <c r="BA163" s="3"/>
    </row>
    <row r="164" spans="1:53" s="8" customFormat="1" ht="24.75" customHeight="1" x14ac:dyDescent="0.2">
      <c r="A164" s="659"/>
      <c r="B164" s="665"/>
      <c r="C164" s="661"/>
      <c r="D164" s="2041"/>
      <c r="E164" s="1966"/>
      <c r="F164" s="1963"/>
      <c r="G164" s="142"/>
      <c r="H164" s="675"/>
      <c r="I164" s="689"/>
      <c r="J164" s="86"/>
      <c r="K164" s="675"/>
      <c r="L164" s="772"/>
      <c r="M164" s="813"/>
      <c r="N164" s="773"/>
      <c r="O164" s="772"/>
      <c r="P164" s="810"/>
      <c r="Q164" s="1758" t="s">
        <v>324</v>
      </c>
      <c r="R164" s="117">
        <v>40</v>
      </c>
      <c r="S164" s="117">
        <v>90</v>
      </c>
      <c r="T164" s="117">
        <v>100</v>
      </c>
      <c r="U164" s="1953"/>
      <c r="V164" s="3"/>
      <c r="W164" s="3"/>
      <c r="X164" s="3"/>
      <c r="Y164" s="3"/>
      <c r="Z164" s="3"/>
      <c r="AA164" s="3"/>
      <c r="AB164" s="3"/>
      <c r="AC164" s="3"/>
      <c r="AD164" s="3"/>
      <c r="AE164" s="3"/>
      <c r="AF164" s="3"/>
      <c r="AG164" s="3"/>
      <c r="AH164" s="3"/>
      <c r="AI164" s="3"/>
      <c r="AJ164" s="3"/>
      <c r="AK164" s="3"/>
      <c r="AL164" s="3"/>
      <c r="AM164" s="3"/>
      <c r="AN164" s="3"/>
      <c r="AO164" s="3"/>
      <c r="AP164" s="3"/>
      <c r="AQ164" s="3"/>
      <c r="AR164" s="3"/>
      <c r="AS164" s="3"/>
      <c r="AT164" s="3"/>
      <c r="AU164" s="3"/>
      <c r="AV164" s="3"/>
      <c r="AW164" s="3"/>
      <c r="AX164" s="3"/>
      <c r="AY164" s="3"/>
      <c r="AZ164" s="3"/>
      <c r="BA164" s="3"/>
    </row>
    <row r="165" spans="1:53" s="8" customFormat="1" ht="9" customHeight="1" x14ac:dyDescent="0.2">
      <c r="A165" s="659"/>
      <c r="B165" s="665"/>
      <c r="C165" s="661"/>
      <c r="D165" s="2042"/>
      <c r="E165" s="1967"/>
      <c r="F165" s="696"/>
      <c r="G165" s="143"/>
      <c r="H165" s="523"/>
      <c r="I165" s="524"/>
      <c r="J165" s="85"/>
      <c r="K165" s="523"/>
      <c r="L165" s="524"/>
      <c r="M165" s="131"/>
      <c r="N165" s="523"/>
      <c r="O165" s="524"/>
      <c r="P165" s="827"/>
      <c r="Q165" s="1762"/>
      <c r="R165" s="119"/>
      <c r="S165" s="119"/>
      <c r="T165" s="119"/>
      <c r="U165" s="1953"/>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3"/>
      <c r="AW165" s="3"/>
      <c r="AX165" s="3"/>
      <c r="AY165" s="3"/>
      <c r="AZ165" s="3"/>
      <c r="BA165" s="3"/>
    </row>
    <row r="166" spans="1:53" s="8" customFormat="1" ht="15.75" customHeight="1" x14ac:dyDescent="0.2">
      <c r="A166" s="659"/>
      <c r="B166" s="665"/>
      <c r="C166" s="661"/>
      <c r="D166" s="2043" t="s">
        <v>188</v>
      </c>
      <c r="E166" s="2038" t="s">
        <v>274</v>
      </c>
      <c r="F166" s="362"/>
      <c r="G166" s="142"/>
      <c r="H166" s="675"/>
      <c r="I166" s="689"/>
      <c r="J166" s="86"/>
      <c r="K166" s="829"/>
      <c r="L166" s="791"/>
      <c r="M166" s="792"/>
      <c r="N166" s="790"/>
      <c r="O166" s="791"/>
      <c r="P166" s="792"/>
      <c r="Q166" s="898" t="s">
        <v>87</v>
      </c>
      <c r="R166" s="311"/>
      <c r="S166" s="630" t="s">
        <v>169</v>
      </c>
      <c r="T166" s="726"/>
      <c r="U166" s="1947"/>
      <c r="V166" s="3"/>
      <c r="W166" s="3"/>
      <c r="X166" s="3"/>
      <c r="Y166" s="3"/>
      <c r="Z166" s="3"/>
      <c r="AA166" s="3"/>
      <c r="AB166" s="3"/>
      <c r="AC166" s="3"/>
      <c r="AD166" s="3"/>
      <c r="AE166" s="3"/>
      <c r="AF166" s="3"/>
      <c r="AG166" s="3"/>
      <c r="AH166" s="3"/>
      <c r="AI166" s="3"/>
      <c r="AJ166" s="3"/>
      <c r="AK166" s="3"/>
      <c r="AL166" s="3"/>
      <c r="AM166" s="3"/>
      <c r="AN166" s="3"/>
      <c r="AO166" s="3"/>
      <c r="AP166" s="3"/>
      <c r="AQ166" s="3"/>
      <c r="AR166" s="3"/>
      <c r="AS166" s="3"/>
      <c r="AT166" s="3"/>
      <c r="AU166" s="3"/>
      <c r="AV166" s="3"/>
      <c r="AW166" s="3"/>
      <c r="AX166" s="3"/>
      <c r="AY166" s="3"/>
      <c r="AZ166" s="3"/>
      <c r="BA166" s="3"/>
    </row>
    <row r="167" spans="1:53" s="8" customFormat="1" ht="24" customHeight="1" x14ac:dyDescent="0.2">
      <c r="A167" s="659"/>
      <c r="B167" s="665"/>
      <c r="C167" s="661"/>
      <c r="D167" s="2003"/>
      <c r="E167" s="1974"/>
      <c r="F167" s="653"/>
      <c r="G167" s="142"/>
      <c r="H167" s="675"/>
      <c r="I167" s="689"/>
      <c r="J167" s="86"/>
      <c r="K167" s="675"/>
      <c r="L167" s="772"/>
      <c r="M167" s="792"/>
      <c r="N167" s="789"/>
      <c r="O167" s="772"/>
      <c r="P167" s="813"/>
      <c r="Q167" s="799" t="s">
        <v>171</v>
      </c>
      <c r="R167" s="347"/>
      <c r="S167" s="398">
        <v>70</v>
      </c>
      <c r="T167" s="727">
        <v>100</v>
      </c>
      <c r="U167" s="1947"/>
      <c r="V167" s="3"/>
      <c r="W167" s="3"/>
      <c r="X167" s="3"/>
      <c r="Y167" s="3"/>
      <c r="Z167" s="3"/>
      <c r="AA167" s="3"/>
      <c r="AB167" s="3"/>
      <c r="AC167" s="3"/>
      <c r="AD167" s="3"/>
      <c r="AE167" s="3"/>
      <c r="AF167" s="3"/>
      <c r="AG167" s="3"/>
      <c r="AH167" s="3"/>
      <c r="AI167" s="3"/>
      <c r="AJ167" s="3"/>
      <c r="AK167" s="3"/>
      <c r="AL167" s="3"/>
      <c r="AM167" s="3"/>
      <c r="AN167" s="3"/>
      <c r="AO167" s="3"/>
      <c r="AP167" s="3"/>
      <c r="AQ167" s="3"/>
      <c r="AR167" s="3"/>
      <c r="AS167" s="3"/>
      <c r="AT167" s="3"/>
      <c r="AU167" s="3"/>
      <c r="AV167" s="3"/>
      <c r="AW167" s="3"/>
      <c r="AX167" s="3"/>
      <c r="AY167" s="3"/>
      <c r="AZ167" s="3"/>
      <c r="BA167" s="3"/>
    </row>
    <row r="168" spans="1:53" s="8" customFormat="1" ht="9" customHeight="1" x14ac:dyDescent="0.2">
      <c r="A168" s="793"/>
      <c r="B168" s="795"/>
      <c r="C168" s="794"/>
      <c r="D168" s="797"/>
      <c r="E168" s="1974"/>
      <c r="F168" s="362"/>
      <c r="G168" s="88"/>
      <c r="H168" s="523"/>
      <c r="I168" s="524"/>
      <c r="J168" s="85"/>
      <c r="K168" s="523"/>
      <c r="L168" s="424"/>
      <c r="M168" s="815"/>
      <c r="N168" s="832"/>
      <c r="O168" s="424"/>
      <c r="P168" s="816"/>
      <c r="Q168" s="527"/>
      <c r="R168" s="313"/>
      <c r="S168" s="482"/>
      <c r="T168" s="814"/>
      <c r="U168" s="1947"/>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c r="AT168" s="3"/>
      <c r="AU168" s="3"/>
      <c r="AV168" s="3"/>
      <c r="AW168" s="3"/>
      <c r="AX168" s="3"/>
      <c r="AY168" s="3"/>
      <c r="AZ168" s="3"/>
      <c r="BA168" s="3"/>
    </row>
    <row r="169" spans="1:53" s="8" customFormat="1" ht="16.5" customHeight="1" x14ac:dyDescent="0.2">
      <c r="A169" s="659"/>
      <c r="B169" s="665"/>
      <c r="C169" s="661"/>
      <c r="D169" s="2039" t="s">
        <v>187</v>
      </c>
      <c r="E169" s="1974"/>
      <c r="F169" s="362"/>
      <c r="G169" s="142"/>
      <c r="H169" s="675"/>
      <c r="I169" s="689"/>
      <c r="J169" s="86"/>
      <c r="K169" s="829"/>
      <c r="L169" s="150"/>
      <c r="M169" s="336"/>
      <c r="N169" s="830"/>
      <c r="O169" s="150"/>
      <c r="P169" s="336"/>
      <c r="Q169" s="1763" t="s">
        <v>319</v>
      </c>
      <c r="R169" s="312">
        <v>1</v>
      </c>
      <c r="S169" s="398"/>
      <c r="T169" s="727"/>
      <c r="U169" s="423"/>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c r="AT169" s="3"/>
      <c r="AU169" s="3"/>
      <c r="AV169" s="3"/>
      <c r="AW169" s="3"/>
      <c r="AX169" s="3"/>
      <c r="AY169" s="3"/>
      <c r="AZ169" s="3"/>
      <c r="BA169" s="3"/>
    </row>
    <row r="170" spans="1:53" s="8" customFormat="1" ht="20.25" customHeight="1" x14ac:dyDescent="0.2">
      <c r="A170" s="659"/>
      <c r="B170" s="665"/>
      <c r="C170" s="661"/>
      <c r="D170" s="2003"/>
      <c r="E170" s="658"/>
      <c r="F170" s="653"/>
      <c r="G170" s="143"/>
      <c r="H170" s="523"/>
      <c r="I170" s="524"/>
      <c r="J170" s="85"/>
      <c r="K170" s="523"/>
      <c r="L170" s="524"/>
      <c r="M170" s="131"/>
      <c r="N170" s="365"/>
      <c r="O170" s="168"/>
      <c r="P170" s="714"/>
      <c r="Q170" s="1910"/>
      <c r="R170" s="347"/>
      <c r="S170" s="398"/>
      <c r="T170" s="727"/>
      <c r="U170" s="423"/>
      <c r="V170" s="3"/>
      <c r="W170" s="3"/>
      <c r="X170" s="3"/>
      <c r="Y170" s="3"/>
      <c r="Z170" s="3"/>
      <c r="AA170" s="3"/>
      <c r="AB170" s="3"/>
      <c r="AC170" s="3"/>
      <c r="AD170" s="3"/>
      <c r="AE170" s="3"/>
      <c r="AF170" s="3"/>
      <c r="AG170" s="3"/>
      <c r="AH170" s="3"/>
      <c r="AI170" s="3"/>
      <c r="AJ170" s="3"/>
      <c r="AK170" s="3"/>
      <c r="AL170" s="3"/>
      <c r="AM170" s="3"/>
      <c r="AN170" s="3"/>
      <c r="AO170" s="3"/>
      <c r="AP170" s="3"/>
      <c r="AQ170" s="3"/>
      <c r="AR170" s="3"/>
      <c r="AS170" s="3"/>
      <c r="AT170" s="3"/>
      <c r="AU170" s="3"/>
      <c r="AV170" s="3"/>
      <c r="AW170" s="3"/>
      <c r="AX170" s="3"/>
      <c r="AY170" s="3"/>
      <c r="AZ170" s="3"/>
      <c r="BA170" s="3"/>
    </row>
    <row r="171" spans="1:53" s="8" customFormat="1" ht="16.5" customHeight="1" thickBot="1" x14ac:dyDescent="0.25">
      <c r="A171" s="25"/>
      <c r="B171" s="665"/>
      <c r="C171" s="696"/>
      <c r="D171" s="624"/>
      <c r="E171" s="389"/>
      <c r="F171" s="61"/>
      <c r="G171" s="34" t="s">
        <v>6</v>
      </c>
      <c r="H171" s="155">
        <f t="shared" ref="H171:P171" si="12">SUM(H141:H170)</f>
        <v>3455.1</v>
      </c>
      <c r="I171" s="155">
        <f t="shared" si="12"/>
        <v>1711.8</v>
      </c>
      <c r="J171" s="155">
        <f t="shared" si="12"/>
        <v>-1743.3</v>
      </c>
      <c r="K171" s="155">
        <f t="shared" si="12"/>
        <v>10494</v>
      </c>
      <c r="L171" s="155">
        <f t="shared" si="12"/>
        <v>12237.3</v>
      </c>
      <c r="M171" s="155">
        <f t="shared" si="12"/>
        <v>1743.3</v>
      </c>
      <c r="N171" s="155">
        <f t="shared" si="12"/>
        <v>12373.5</v>
      </c>
      <c r="O171" s="155">
        <f t="shared" si="12"/>
        <v>12373.5</v>
      </c>
      <c r="P171" s="155">
        <f t="shared" si="12"/>
        <v>0</v>
      </c>
      <c r="Q171" s="195"/>
      <c r="R171" s="38"/>
      <c r="S171" s="401"/>
      <c r="T171" s="356"/>
      <c r="U171" s="357"/>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row>
    <row r="172" spans="1:53" s="8" customFormat="1" ht="29.25" customHeight="1" x14ac:dyDescent="0.2">
      <c r="A172" s="670" t="s">
        <v>5</v>
      </c>
      <c r="B172" s="672" t="s">
        <v>5</v>
      </c>
      <c r="C172" s="673" t="s">
        <v>29</v>
      </c>
      <c r="D172" s="677" t="s">
        <v>213</v>
      </c>
      <c r="E172" s="196" t="s">
        <v>47</v>
      </c>
      <c r="F172" s="690" t="s">
        <v>46</v>
      </c>
      <c r="G172" s="60"/>
      <c r="H172" s="111"/>
      <c r="I172" s="140"/>
      <c r="J172" s="164"/>
      <c r="K172" s="111"/>
      <c r="L172" s="140"/>
      <c r="M172" s="164"/>
      <c r="N172" s="111"/>
      <c r="O172" s="140"/>
      <c r="P172" s="164"/>
      <c r="Q172" s="798"/>
      <c r="R172" s="105"/>
      <c r="S172" s="259"/>
      <c r="T172" s="259"/>
      <c r="U172" s="171"/>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c r="AT172" s="3"/>
      <c r="AU172" s="3"/>
      <c r="AV172" s="3"/>
      <c r="AW172" s="3"/>
      <c r="AX172" s="3"/>
      <c r="AY172" s="3"/>
      <c r="AZ172" s="3"/>
      <c r="BA172" s="3"/>
    </row>
    <row r="173" spans="1:53" s="8" customFormat="1" ht="14.25" customHeight="1" x14ac:dyDescent="0.2">
      <c r="A173" s="659"/>
      <c r="B173" s="665"/>
      <c r="C173" s="661"/>
      <c r="D173" s="1679" t="s">
        <v>208</v>
      </c>
      <c r="E173" s="2035" t="s">
        <v>207</v>
      </c>
      <c r="F173" s="1963"/>
      <c r="G173" s="575" t="s">
        <v>24</v>
      </c>
      <c r="H173" s="93">
        <v>10</v>
      </c>
      <c r="I173" s="125">
        <v>10</v>
      </c>
      <c r="J173" s="132"/>
      <c r="K173" s="93">
        <v>84</v>
      </c>
      <c r="L173" s="125">
        <v>84</v>
      </c>
      <c r="M173" s="132"/>
      <c r="N173" s="93"/>
      <c r="O173" s="125"/>
      <c r="P173" s="132"/>
      <c r="Q173" s="694" t="s">
        <v>87</v>
      </c>
      <c r="R173" s="33">
        <v>1</v>
      </c>
      <c r="S173" s="118"/>
      <c r="T173" s="118"/>
      <c r="U173" s="471"/>
      <c r="V173" s="562"/>
      <c r="W173" s="3"/>
      <c r="X173" s="3"/>
      <c r="Y173" s="3"/>
      <c r="Z173" s="3"/>
      <c r="AA173" s="3"/>
      <c r="AB173" s="3"/>
      <c r="AC173" s="3"/>
      <c r="AD173" s="3"/>
      <c r="AE173" s="3"/>
      <c r="AF173" s="3"/>
      <c r="AG173" s="3"/>
      <c r="AH173" s="3"/>
      <c r="AI173" s="3"/>
      <c r="AJ173" s="3"/>
      <c r="AK173" s="3"/>
      <c r="AL173" s="3"/>
      <c r="AM173" s="3"/>
      <c r="AN173" s="3"/>
      <c r="AO173" s="3"/>
      <c r="AP173" s="3"/>
      <c r="AQ173" s="3"/>
      <c r="AR173" s="3"/>
      <c r="AS173" s="3"/>
      <c r="AT173" s="3"/>
      <c r="AU173" s="3"/>
      <c r="AV173" s="3"/>
      <c r="AW173" s="3"/>
      <c r="AX173" s="3"/>
      <c r="AY173" s="3"/>
      <c r="AZ173" s="3"/>
      <c r="BA173" s="3"/>
    </row>
    <row r="174" spans="1:53" s="8" customFormat="1" ht="12.75" customHeight="1" x14ac:dyDescent="0.2">
      <c r="A174" s="659"/>
      <c r="B174" s="665"/>
      <c r="C174" s="661"/>
      <c r="D174" s="1680"/>
      <c r="E174" s="2036"/>
      <c r="F174" s="1963"/>
      <c r="G174" s="248"/>
      <c r="H174" s="523"/>
      <c r="I174" s="524"/>
      <c r="J174" s="131"/>
      <c r="K174" s="523"/>
      <c r="L174" s="524"/>
      <c r="M174" s="131"/>
      <c r="N174" s="523"/>
      <c r="O174" s="524"/>
      <c r="P174" s="131"/>
      <c r="Q174" s="688" t="s">
        <v>209</v>
      </c>
      <c r="R174" s="67"/>
      <c r="S174" s="117">
        <v>1</v>
      </c>
      <c r="T174" s="117"/>
      <c r="U174" s="471"/>
      <c r="V174" s="562"/>
      <c r="W174" s="3"/>
      <c r="X174" s="3"/>
      <c r="Y174" s="3"/>
      <c r="Z174" s="3"/>
      <c r="AA174" s="3"/>
      <c r="AB174" s="3"/>
      <c r="AC174" s="3"/>
      <c r="AD174" s="3"/>
      <c r="AE174" s="3"/>
      <c r="AF174" s="3"/>
      <c r="AG174" s="3"/>
      <c r="AH174" s="3"/>
      <c r="AI174" s="3"/>
      <c r="AJ174" s="3"/>
      <c r="AK174" s="3"/>
      <c r="AL174" s="3"/>
      <c r="AM174" s="3"/>
      <c r="AN174" s="3"/>
      <c r="AO174" s="3"/>
      <c r="AP174" s="3"/>
      <c r="AQ174" s="3"/>
      <c r="AR174" s="3"/>
      <c r="AS174" s="3"/>
      <c r="AT174" s="3"/>
      <c r="AU174" s="3"/>
      <c r="AV174" s="3"/>
      <c r="AW174" s="3"/>
      <c r="AX174" s="3"/>
      <c r="AY174" s="3"/>
      <c r="AZ174" s="3"/>
      <c r="BA174" s="3"/>
    </row>
    <row r="175" spans="1:53" s="8" customFormat="1" ht="16.5" customHeight="1" thickBot="1" x14ac:dyDescent="0.25">
      <c r="A175" s="25"/>
      <c r="B175" s="665"/>
      <c r="C175" s="696"/>
      <c r="D175" s="624"/>
      <c r="E175" s="389"/>
      <c r="F175" s="61"/>
      <c r="G175" s="34" t="s">
        <v>6</v>
      </c>
      <c r="H175" s="155">
        <f t="shared" ref="H175:M175" si="13">H173</f>
        <v>10</v>
      </c>
      <c r="I175" s="369">
        <f t="shared" si="13"/>
        <v>10</v>
      </c>
      <c r="J175" s="368">
        <f t="shared" si="13"/>
        <v>0</v>
      </c>
      <c r="K175" s="155">
        <f t="shared" si="13"/>
        <v>84</v>
      </c>
      <c r="L175" s="369">
        <f t="shared" si="13"/>
        <v>84</v>
      </c>
      <c r="M175" s="368">
        <f t="shared" si="13"/>
        <v>0</v>
      </c>
      <c r="N175" s="155"/>
      <c r="O175" s="369"/>
      <c r="P175" s="368"/>
      <c r="Q175" s="195"/>
      <c r="R175" s="38"/>
      <c r="S175" s="401"/>
      <c r="T175" s="356"/>
      <c r="U175" s="357"/>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3"/>
      <c r="AW175" s="3"/>
      <c r="AX175" s="3"/>
      <c r="AY175" s="3"/>
      <c r="AZ175" s="3"/>
      <c r="BA175" s="3"/>
    </row>
    <row r="176" spans="1:53" s="8" customFormat="1" ht="14.25" customHeight="1" thickBot="1" x14ac:dyDescent="0.25">
      <c r="A176" s="27" t="s">
        <v>5</v>
      </c>
      <c r="B176" s="63" t="s">
        <v>5</v>
      </c>
      <c r="C176" s="1649" t="s">
        <v>8</v>
      </c>
      <c r="D176" s="1650"/>
      <c r="E176" s="1650"/>
      <c r="F176" s="1650"/>
      <c r="G176" s="1651"/>
      <c r="H176" s="156">
        <f t="shared" ref="H176:P176" si="14">+H171+H140+H137+H134+H113+H76+H60+H175</f>
        <v>11985.8</v>
      </c>
      <c r="I176" s="156">
        <f t="shared" si="14"/>
        <v>9582.7999999999993</v>
      </c>
      <c r="J176" s="156">
        <f t="shared" si="14"/>
        <v>-2403</v>
      </c>
      <c r="K176" s="156">
        <f t="shared" si="14"/>
        <v>18709.099999999999</v>
      </c>
      <c r="L176" s="156">
        <f t="shared" si="14"/>
        <v>20452.400000000001</v>
      </c>
      <c r="M176" s="156">
        <f t="shared" si="14"/>
        <v>1743.3</v>
      </c>
      <c r="N176" s="156">
        <f t="shared" si="14"/>
        <v>20559.900000000001</v>
      </c>
      <c r="O176" s="156">
        <f t="shared" si="14"/>
        <v>20559.900000000001</v>
      </c>
      <c r="P176" s="92">
        <f t="shared" si="14"/>
        <v>0</v>
      </c>
      <c r="Q176" s="232"/>
      <c r="R176" s="232"/>
      <c r="S176" s="232"/>
      <c r="T176" s="232"/>
      <c r="U176" s="197"/>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3"/>
      <c r="AW176" s="3"/>
      <c r="AX176" s="3"/>
      <c r="AY176" s="3"/>
      <c r="AZ176" s="3"/>
      <c r="BA176" s="3"/>
    </row>
    <row r="177" spans="1:53" s="8" customFormat="1" ht="17.25" customHeight="1" thickBot="1" x14ac:dyDescent="0.25">
      <c r="A177" s="27" t="s">
        <v>5</v>
      </c>
      <c r="B177" s="63" t="s">
        <v>7</v>
      </c>
      <c r="C177" s="1708" t="s">
        <v>42</v>
      </c>
      <c r="D177" s="1709"/>
      <c r="E177" s="1709"/>
      <c r="F177" s="1709"/>
      <c r="G177" s="1709"/>
      <c r="H177" s="1709"/>
      <c r="I177" s="1709"/>
      <c r="J177" s="1709"/>
      <c r="K177" s="1709"/>
      <c r="L177" s="1709"/>
      <c r="M177" s="1709"/>
      <c r="N177" s="1709"/>
      <c r="O177" s="1709"/>
      <c r="P177" s="1709"/>
      <c r="Q177" s="1709"/>
      <c r="R177" s="1709"/>
      <c r="S177" s="1709"/>
      <c r="T177" s="1709"/>
      <c r="U177" s="1710"/>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c r="AT177" s="3"/>
      <c r="AU177" s="3"/>
      <c r="AV177" s="3"/>
      <c r="AW177" s="3"/>
      <c r="AX177" s="3"/>
      <c r="AY177" s="3"/>
      <c r="AZ177" s="3"/>
      <c r="BA177" s="3"/>
    </row>
    <row r="178" spans="1:53" s="8" customFormat="1" ht="15.75" customHeight="1" x14ac:dyDescent="0.2">
      <c r="A178" s="68" t="s">
        <v>5</v>
      </c>
      <c r="B178" s="97" t="s">
        <v>7</v>
      </c>
      <c r="C178" s="204" t="s">
        <v>5</v>
      </c>
      <c r="D178" s="1665" t="s">
        <v>74</v>
      </c>
      <c r="E178" s="637"/>
      <c r="F178" s="638">
        <v>6</v>
      </c>
      <c r="G178" s="639" t="s">
        <v>24</v>
      </c>
      <c r="H178" s="111">
        <v>565.29999999999995</v>
      </c>
      <c r="I178" s="140">
        <v>565.29999999999995</v>
      </c>
      <c r="J178" s="164"/>
      <c r="K178" s="111">
        <v>597.5</v>
      </c>
      <c r="L178" s="140">
        <v>597.5</v>
      </c>
      <c r="M178" s="164"/>
      <c r="N178" s="111">
        <v>370</v>
      </c>
      <c r="O178" s="140">
        <v>370</v>
      </c>
      <c r="P178" s="110"/>
      <c r="Q178" s="640"/>
      <c r="R178" s="215"/>
      <c r="S178" s="215"/>
      <c r="T178" s="215"/>
      <c r="U178" s="216"/>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c r="AT178" s="3"/>
      <c r="AU178" s="3"/>
      <c r="AV178" s="3"/>
      <c r="AW178" s="3"/>
      <c r="AX178" s="3"/>
      <c r="AY178" s="3"/>
      <c r="AZ178" s="3"/>
      <c r="BA178" s="3"/>
    </row>
    <row r="179" spans="1:53" s="8" customFormat="1" ht="18.75" customHeight="1" x14ac:dyDescent="0.2">
      <c r="A179" s="69"/>
      <c r="B179" s="203"/>
      <c r="C179" s="696"/>
      <c r="D179" s="1666"/>
      <c r="E179" s="668"/>
      <c r="F179" s="641"/>
      <c r="G179" s="54" t="s">
        <v>58</v>
      </c>
      <c r="H179" s="675">
        <v>35.6</v>
      </c>
      <c r="I179" s="689">
        <v>35.6</v>
      </c>
      <c r="J179" s="569"/>
      <c r="K179" s="675"/>
      <c r="L179" s="689"/>
      <c r="M179" s="569"/>
      <c r="N179" s="675"/>
      <c r="O179" s="689"/>
      <c r="P179" s="86"/>
      <c r="Q179" s="642"/>
      <c r="R179" s="429"/>
      <c r="S179" s="429"/>
      <c r="T179" s="429"/>
      <c r="U179" s="72"/>
      <c r="V179" s="3"/>
      <c r="W179" s="3"/>
      <c r="X179" s="3"/>
      <c r="Y179" s="3"/>
      <c r="Z179" s="3"/>
      <c r="AA179" s="3"/>
      <c r="AB179" s="3"/>
      <c r="AC179" s="3"/>
      <c r="AD179" s="3"/>
      <c r="AE179" s="3"/>
      <c r="AF179" s="3"/>
      <c r="AG179" s="3"/>
      <c r="AH179" s="3"/>
      <c r="AI179" s="3"/>
      <c r="AJ179" s="3"/>
      <c r="AK179" s="3"/>
      <c r="AL179" s="3"/>
      <c r="AM179" s="3"/>
      <c r="AN179" s="3"/>
      <c r="AO179" s="3"/>
      <c r="AP179" s="3"/>
      <c r="AQ179" s="3"/>
      <c r="AR179" s="3"/>
      <c r="AS179" s="3"/>
      <c r="AT179" s="3"/>
      <c r="AU179" s="3"/>
      <c r="AV179" s="3"/>
      <c r="AW179" s="3"/>
      <c r="AX179" s="3"/>
      <c r="AY179" s="3"/>
      <c r="AZ179" s="3"/>
      <c r="BA179" s="3"/>
    </row>
    <row r="180" spans="1:53" s="8" customFormat="1" ht="18" customHeight="1" x14ac:dyDescent="0.2">
      <c r="A180" s="69"/>
      <c r="B180" s="203"/>
      <c r="C180" s="696"/>
      <c r="D180" s="1686" t="s">
        <v>52</v>
      </c>
      <c r="E180" s="667"/>
      <c r="F180" s="48"/>
      <c r="G180" s="50"/>
      <c r="H180" s="551"/>
      <c r="I180" s="735"/>
      <c r="J180" s="734"/>
      <c r="K180" s="551"/>
      <c r="L180" s="735"/>
      <c r="M180" s="734"/>
      <c r="N180" s="551"/>
      <c r="O180" s="735"/>
      <c r="P180" s="550"/>
      <c r="Q180" s="687" t="s">
        <v>189</v>
      </c>
      <c r="R180" s="379">
        <v>350</v>
      </c>
      <c r="S180" s="503">
        <v>350</v>
      </c>
      <c r="T180" s="503">
        <v>350</v>
      </c>
      <c r="U180" s="381"/>
      <c r="V180" s="3"/>
      <c r="W180" s="3"/>
      <c r="X180" s="3"/>
      <c r="Y180" s="3"/>
      <c r="Z180" s="3"/>
      <c r="AA180" s="3"/>
      <c r="AB180" s="3"/>
      <c r="AC180" s="3"/>
      <c r="AD180" s="3"/>
      <c r="AE180" s="3"/>
      <c r="AF180" s="3"/>
      <c r="AG180" s="3"/>
      <c r="AH180" s="3"/>
      <c r="AI180" s="3"/>
      <c r="AJ180" s="3"/>
      <c r="AK180" s="3"/>
      <c r="AL180" s="3"/>
      <c r="AM180" s="3"/>
      <c r="AN180" s="3"/>
      <c r="AO180" s="3"/>
      <c r="AP180" s="3"/>
      <c r="AQ180" s="3"/>
      <c r="AR180" s="3"/>
      <c r="AS180" s="3"/>
      <c r="AT180" s="3"/>
      <c r="AU180" s="3"/>
      <c r="AV180" s="3"/>
      <c r="AW180" s="3"/>
      <c r="AX180" s="3"/>
      <c r="AY180" s="3"/>
      <c r="AZ180" s="3"/>
      <c r="BA180" s="3"/>
    </row>
    <row r="181" spans="1:53" s="8" customFormat="1" ht="28.5" customHeight="1" x14ac:dyDescent="0.2">
      <c r="A181" s="69"/>
      <c r="B181" s="203"/>
      <c r="C181" s="696"/>
      <c r="D181" s="1686"/>
      <c r="E181" s="667"/>
      <c r="F181" s="48"/>
      <c r="G181" s="50"/>
      <c r="H181" s="675"/>
      <c r="I181" s="689"/>
      <c r="J181" s="569"/>
      <c r="K181" s="675"/>
      <c r="L181" s="689"/>
      <c r="M181" s="569"/>
      <c r="N181" s="675"/>
      <c r="O181" s="689"/>
      <c r="P181" s="86"/>
      <c r="Q181" s="688" t="s">
        <v>117</v>
      </c>
      <c r="R181" s="150">
        <v>300</v>
      </c>
      <c r="S181" s="363">
        <v>300</v>
      </c>
      <c r="T181" s="363">
        <v>300</v>
      </c>
      <c r="U181" s="381"/>
      <c r="V181" s="3"/>
      <c r="W181" s="3"/>
      <c r="X181" s="3"/>
      <c r="Y181" s="3"/>
      <c r="Z181" s="3"/>
      <c r="AA181" s="3"/>
      <c r="AB181" s="3"/>
      <c r="AC181" s="3"/>
      <c r="AD181" s="3"/>
      <c r="AE181" s="3"/>
      <c r="AF181" s="3"/>
      <c r="AG181" s="3"/>
      <c r="AH181" s="3"/>
      <c r="AI181" s="3"/>
      <c r="AJ181" s="3"/>
      <c r="AK181" s="3"/>
      <c r="AL181" s="3"/>
      <c r="AM181" s="3"/>
      <c r="AN181" s="3"/>
      <c r="AO181" s="3"/>
      <c r="AP181" s="3"/>
      <c r="AQ181" s="3"/>
      <c r="AR181" s="3"/>
      <c r="AS181" s="3"/>
      <c r="AT181" s="3"/>
      <c r="AU181" s="3"/>
      <c r="AV181" s="3"/>
      <c r="AW181" s="3"/>
      <c r="AX181" s="3"/>
      <c r="AY181" s="3"/>
      <c r="AZ181" s="3"/>
      <c r="BA181" s="3"/>
    </row>
    <row r="182" spans="1:53" s="8" customFormat="1" ht="28.5" customHeight="1" x14ac:dyDescent="0.2">
      <c r="A182" s="69"/>
      <c r="B182" s="203"/>
      <c r="C182" s="661"/>
      <c r="D182" s="1662"/>
      <c r="E182" s="668"/>
      <c r="F182" s="48"/>
      <c r="G182" s="51"/>
      <c r="H182" s="523"/>
      <c r="I182" s="524"/>
      <c r="J182" s="131"/>
      <c r="K182" s="523"/>
      <c r="L182" s="524"/>
      <c r="M182" s="131"/>
      <c r="N182" s="523"/>
      <c r="O182" s="524"/>
      <c r="P182" s="85"/>
      <c r="Q182" s="194" t="s">
        <v>78</v>
      </c>
      <c r="R182" s="377">
        <v>36</v>
      </c>
      <c r="S182" s="364">
        <v>36</v>
      </c>
      <c r="T182" s="364">
        <v>36</v>
      </c>
      <c r="U182" s="381"/>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row>
    <row r="183" spans="1:53" s="8" customFormat="1" ht="14.25" customHeight="1" x14ac:dyDescent="0.2">
      <c r="A183" s="69"/>
      <c r="B183" s="203"/>
      <c r="C183" s="696"/>
      <c r="D183" s="1686" t="s">
        <v>170</v>
      </c>
      <c r="E183" s="667"/>
      <c r="F183" s="48"/>
      <c r="G183" s="50"/>
      <c r="H183" s="675"/>
      <c r="I183" s="689"/>
      <c r="J183" s="569"/>
      <c r="K183" s="675"/>
      <c r="L183" s="689"/>
      <c r="M183" s="569"/>
      <c r="N183" s="675"/>
      <c r="O183" s="689"/>
      <c r="P183" s="569"/>
      <c r="Q183" s="1712" t="s">
        <v>97</v>
      </c>
      <c r="R183" s="150">
        <v>18</v>
      </c>
      <c r="S183" s="503">
        <v>18</v>
      </c>
      <c r="T183" s="503">
        <v>18</v>
      </c>
      <c r="U183" s="381"/>
      <c r="V183" s="3"/>
      <c r="W183" s="3"/>
      <c r="X183" s="3"/>
      <c r="Y183" s="3"/>
      <c r="Z183" s="3"/>
      <c r="AA183" s="3"/>
      <c r="AB183" s="3"/>
      <c r="AC183" s="3"/>
      <c r="AD183" s="3"/>
      <c r="AE183" s="3"/>
      <c r="AF183" s="3"/>
      <c r="AG183" s="3"/>
      <c r="AH183" s="3"/>
      <c r="AI183" s="3"/>
      <c r="AJ183" s="3"/>
      <c r="AK183" s="3"/>
      <c r="AL183" s="3"/>
      <c r="AM183" s="3"/>
      <c r="AN183" s="3"/>
      <c r="AO183" s="3"/>
      <c r="AP183" s="3"/>
      <c r="AQ183" s="3"/>
      <c r="AR183" s="3"/>
      <c r="AS183" s="3"/>
      <c r="AT183" s="3"/>
      <c r="AU183" s="3"/>
      <c r="AV183" s="3"/>
      <c r="AW183" s="3"/>
      <c r="AX183" s="3"/>
      <c r="AY183" s="3"/>
      <c r="AZ183" s="3"/>
      <c r="BA183" s="3"/>
    </row>
    <row r="184" spans="1:53" s="8" customFormat="1" ht="13.5" customHeight="1" x14ac:dyDescent="0.2">
      <c r="A184" s="69"/>
      <c r="B184" s="203"/>
      <c r="C184" s="696"/>
      <c r="D184" s="2011"/>
      <c r="E184" s="667"/>
      <c r="F184" s="48"/>
      <c r="G184" s="50"/>
      <c r="H184" s="675"/>
      <c r="I184" s="689"/>
      <c r="J184" s="569"/>
      <c r="K184" s="675"/>
      <c r="L184" s="689"/>
      <c r="M184" s="569"/>
      <c r="N184" s="675"/>
      <c r="O184" s="689"/>
      <c r="P184" s="569"/>
      <c r="Q184" s="2063"/>
      <c r="R184" s="786"/>
      <c r="S184" s="787"/>
      <c r="T184" s="787"/>
      <c r="U184" s="72"/>
      <c r="V184" s="3"/>
      <c r="W184" s="3"/>
      <c r="X184" s="3"/>
      <c r="Y184" s="3"/>
      <c r="Z184" s="3"/>
      <c r="AA184" s="3"/>
      <c r="AB184" s="3"/>
      <c r="AC184" s="3"/>
      <c r="AD184" s="3"/>
      <c r="AE184" s="3"/>
      <c r="AF184" s="3"/>
      <c r="AG184" s="3"/>
      <c r="AH184" s="3"/>
      <c r="AI184" s="3"/>
      <c r="AJ184" s="3"/>
      <c r="AK184" s="3"/>
      <c r="AL184" s="3"/>
      <c r="AM184" s="3"/>
      <c r="AN184" s="3"/>
      <c r="AO184" s="3"/>
      <c r="AP184" s="3"/>
      <c r="AQ184" s="3"/>
      <c r="AR184" s="3"/>
      <c r="AS184" s="3"/>
      <c r="AT184" s="3"/>
      <c r="AU184" s="3"/>
      <c r="AV184" s="3"/>
      <c r="AW184" s="3"/>
      <c r="AX184" s="3"/>
      <c r="AY184" s="3"/>
      <c r="AZ184" s="3"/>
      <c r="BA184" s="3"/>
    </row>
    <row r="185" spans="1:53" ht="27.75" customHeight="1" x14ac:dyDescent="0.2">
      <c r="A185" s="69"/>
      <c r="B185" s="203"/>
      <c r="C185" s="696"/>
      <c r="D185" s="2011"/>
      <c r="E185" s="667"/>
      <c r="F185" s="48"/>
      <c r="G185" s="50"/>
      <c r="H185" s="675"/>
      <c r="I185" s="689"/>
      <c r="J185" s="569"/>
      <c r="K185" s="675"/>
      <c r="L185" s="689"/>
      <c r="M185" s="569"/>
      <c r="N185" s="675"/>
      <c r="O185" s="689"/>
      <c r="P185" s="569"/>
      <c r="Q185" s="76" t="s">
        <v>93</v>
      </c>
      <c r="R185" s="151">
        <v>25</v>
      </c>
      <c r="S185" s="430">
        <v>5</v>
      </c>
      <c r="T185" s="430">
        <v>5</v>
      </c>
      <c r="U185" s="72"/>
    </row>
    <row r="186" spans="1:53" ht="16.5" customHeight="1" x14ac:dyDescent="0.2">
      <c r="A186" s="69"/>
      <c r="B186" s="203"/>
      <c r="C186" s="696"/>
      <c r="D186" s="2011"/>
      <c r="E186" s="73"/>
      <c r="F186" s="66"/>
      <c r="G186" s="50"/>
      <c r="H186" s="675"/>
      <c r="I186" s="689"/>
      <c r="J186" s="569"/>
      <c r="K186" s="675"/>
      <c r="L186" s="689"/>
      <c r="M186" s="569"/>
      <c r="N186" s="675"/>
      <c r="O186" s="689"/>
      <c r="P186" s="569"/>
      <c r="Q186" s="557" t="s">
        <v>44</v>
      </c>
      <c r="R186" s="217">
        <v>57</v>
      </c>
      <c r="S186" s="323">
        <v>57</v>
      </c>
      <c r="T186" s="323">
        <v>57</v>
      </c>
      <c r="U186" s="72"/>
    </row>
    <row r="187" spans="1:53" ht="25.5" customHeight="1" x14ac:dyDescent="0.2">
      <c r="A187" s="69"/>
      <c r="B187" s="203"/>
      <c r="C187" s="696"/>
      <c r="D187" s="2011"/>
      <c r="E187" s="73"/>
      <c r="F187" s="66"/>
      <c r="G187" s="50"/>
      <c r="H187" s="675"/>
      <c r="I187" s="689"/>
      <c r="J187" s="569"/>
      <c r="K187" s="675"/>
      <c r="L187" s="689"/>
      <c r="M187" s="569"/>
      <c r="N187" s="675"/>
      <c r="O187" s="689"/>
      <c r="P187" s="569"/>
      <c r="Q187" s="557" t="s">
        <v>92</v>
      </c>
      <c r="R187" s="217">
        <v>1</v>
      </c>
      <c r="S187" s="323"/>
      <c r="T187" s="323"/>
      <c r="U187" s="72"/>
      <c r="X187" s="562"/>
    </row>
    <row r="188" spans="1:53" ht="28.5" customHeight="1" x14ac:dyDescent="0.2">
      <c r="A188" s="69"/>
      <c r="B188" s="203"/>
      <c r="C188" s="696"/>
      <c r="D188" s="686"/>
      <c r="E188" s="73"/>
      <c r="F188" s="66"/>
      <c r="G188" s="50"/>
      <c r="H188" s="675"/>
      <c r="I188" s="689"/>
      <c r="J188" s="569"/>
      <c r="K188" s="675"/>
      <c r="L188" s="689"/>
      <c r="M188" s="569"/>
      <c r="N188" s="675"/>
      <c r="O188" s="689"/>
      <c r="P188" s="569"/>
      <c r="Q188" s="549" t="s">
        <v>230</v>
      </c>
      <c r="R188" s="544">
        <v>7.5</v>
      </c>
      <c r="S188" s="545">
        <v>7.5</v>
      </c>
      <c r="T188" s="545">
        <v>7.5</v>
      </c>
      <c r="U188" s="381"/>
    </row>
    <row r="189" spans="1:53" ht="40.5" customHeight="1" x14ac:dyDescent="0.2">
      <c r="A189" s="69"/>
      <c r="B189" s="203"/>
      <c r="C189" s="696"/>
      <c r="D189" s="686"/>
      <c r="E189" s="73"/>
      <c r="F189" s="66"/>
      <c r="G189" s="50"/>
      <c r="H189" s="675"/>
      <c r="I189" s="689"/>
      <c r="J189" s="569"/>
      <c r="K189" s="675"/>
      <c r="L189" s="689"/>
      <c r="M189" s="569"/>
      <c r="N189" s="675"/>
      <c r="O189" s="689"/>
      <c r="P189" s="569"/>
      <c r="Q189" s="549" t="s">
        <v>163</v>
      </c>
      <c r="R189" s="151">
        <v>100</v>
      </c>
      <c r="S189" s="430"/>
      <c r="T189" s="430"/>
      <c r="U189" s="72"/>
    </row>
    <row r="190" spans="1:53" ht="15.75" customHeight="1" x14ac:dyDescent="0.2">
      <c r="A190" s="69"/>
      <c r="B190" s="203"/>
      <c r="C190" s="696"/>
      <c r="D190" s="686"/>
      <c r="E190" s="73"/>
      <c r="F190" s="66"/>
      <c r="G190" s="50"/>
      <c r="H190" s="675"/>
      <c r="I190" s="689"/>
      <c r="J190" s="569"/>
      <c r="K190" s="675"/>
      <c r="L190" s="689"/>
      <c r="M190" s="569"/>
      <c r="N190" s="675"/>
      <c r="O190" s="689"/>
      <c r="P190" s="569"/>
      <c r="Q190" s="558" t="s">
        <v>162</v>
      </c>
      <c r="R190" s="151"/>
      <c r="S190" s="430">
        <v>80</v>
      </c>
      <c r="T190" s="430"/>
      <c r="U190" s="72"/>
    </row>
    <row r="191" spans="1:53" ht="29.25" customHeight="1" x14ac:dyDescent="0.2">
      <c r="A191" s="69"/>
      <c r="B191" s="203"/>
      <c r="C191" s="696"/>
      <c r="D191" s="686"/>
      <c r="E191" s="73"/>
      <c r="F191" s="66"/>
      <c r="G191" s="50"/>
      <c r="H191" s="675"/>
      <c r="I191" s="689"/>
      <c r="J191" s="569"/>
      <c r="K191" s="675"/>
      <c r="L191" s="689"/>
      <c r="M191" s="569"/>
      <c r="N191" s="675"/>
      <c r="O191" s="689"/>
      <c r="P191" s="569"/>
      <c r="Q191" s="549" t="s">
        <v>231</v>
      </c>
      <c r="R191" s="151">
        <v>50</v>
      </c>
      <c r="S191" s="430">
        <v>100</v>
      </c>
      <c r="T191" s="430"/>
      <c r="U191" s="72"/>
    </row>
    <row r="192" spans="1:53" ht="30.75" customHeight="1" x14ac:dyDescent="0.2">
      <c r="A192" s="69"/>
      <c r="B192" s="203"/>
      <c r="C192" s="696"/>
      <c r="D192" s="686"/>
      <c r="E192" s="73"/>
      <c r="F192" s="66"/>
      <c r="G192" s="51"/>
      <c r="H192" s="523"/>
      <c r="I192" s="524"/>
      <c r="J192" s="131"/>
      <c r="K192" s="435"/>
      <c r="L192" s="434"/>
      <c r="M192" s="431"/>
      <c r="N192" s="435"/>
      <c r="O192" s="434"/>
      <c r="P192" s="385"/>
      <c r="Q192" s="557" t="s">
        <v>232</v>
      </c>
      <c r="R192" s="217">
        <v>10</v>
      </c>
      <c r="S192" s="625">
        <v>100</v>
      </c>
      <c r="T192" s="625"/>
      <c r="U192" s="728"/>
    </row>
    <row r="193" spans="1:53" s="8" customFormat="1" ht="16.5" customHeight="1" thickBot="1" x14ac:dyDescent="0.25">
      <c r="A193" s="25"/>
      <c r="B193" s="665"/>
      <c r="C193" s="696"/>
      <c r="D193" s="624"/>
      <c r="E193" s="389"/>
      <c r="F193" s="61"/>
      <c r="G193" s="34" t="s">
        <v>6</v>
      </c>
      <c r="H193" s="155">
        <f>SUM(H178:H192)</f>
        <v>600.9</v>
      </c>
      <c r="I193" s="369">
        <f>SUM(I178:I192)</f>
        <v>600.9</v>
      </c>
      <c r="J193" s="368">
        <f>SUM(J178:J192)</f>
        <v>0</v>
      </c>
      <c r="K193" s="155">
        <f t="shared" ref="K193:L193" si="15">SUM(K178:K192)</f>
        <v>597.5</v>
      </c>
      <c r="L193" s="369">
        <f t="shared" si="15"/>
        <v>597.5</v>
      </c>
      <c r="M193" s="368">
        <f t="shared" ref="M193:P193" si="16">SUM(M178:M192)</f>
        <v>0</v>
      </c>
      <c r="N193" s="155">
        <f t="shared" ref="N193:O193" si="17">SUM(N178:N192)</f>
        <v>370</v>
      </c>
      <c r="O193" s="369">
        <f t="shared" si="17"/>
        <v>370</v>
      </c>
      <c r="P193" s="368">
        <f t="shared" si="16"/>
        <v>0</v>
      </c>
      <c r="Q193" s="195"/>
      <c r="R193" s="38"/>
      <c r="S193" s="401"/>
      <c r="T193" s="356"/>
      <c r="U193" s="357"/>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row>
    <row r="194" spans="1:53" ht="14.25" customHeight="1" thickBot="1" x14ac:dyDescent="0.25">
      <c r="A194" s="28" t="s">
        <v>5</v>
      </c>
      <c r="B194" s="6" t="s">
        <v>7</v>
      </c>
      <c r="C194" s="1650" t="s">
        <v>8</v>
      </c>
      <c r="D194" s="1650"/>
      <c r="E194" s="1650"/>
      <c r="F194" s="1650"/>
      <c r="G194" s="1650"/>
      <c r="H194" s="156">
        <f>H193</f>
        <v>600.9</v>
      </c>
      <c r="I194" s="218">
        <f>I193</f>
        <v>600.9</v>
      </c>
      <c r="J194" s="321">
        <f>J193</f>
        <v>0</v>
      </c>
      <c r="K194" s="156">
        <f t="shared" ref="K194:L194" si="18">K193</f>
        <v>597.5</v>
      </c>
      <c r="L194" s="218">
        <f t="shared" si="18"/>
        <v>597.5</v>
      </c>
      <c r="M194" s="321">
        <f t="shared" ref="M194:P194" si="19">M193</f>
        <v>0</v>
      </c>
      <c r="N194" s="156">
        <f t="shared" ref="N194:O194" si="20">N193</f>
        <v>370</v>
      </c>
      <c r="O194" s="218">
        <f t="shared" si="20"/>
        <v>370</v>
      </c>
      <c r="P194" s="321">
        <f t="shared" si="19"/>
        <v>0</v>
      </c>
      <c r="Q194" s="232"/>
      <c r="R194" s="232"/>
      <c r="S194" s="232"/>
      <c r="T194" s="232"/>
      <c r="U194" s="197"/>
    </row>
    <row r="195" spans="1:53" ht="17.25" customHeight="1" thickBot="1" x14ac:dyDescent="0.25">
      <c r="A195" s="27" t="s">
        <v>5</v>
      </c>
      <c r="B195" s="6" t="s">
        <v>26</v>
      </c>
      <c r="C195" s="1663" t="s">
        <v>127</v>
      </c>
      <c r="D195" s="1664"/>
      <c r="E195" s="1664"/>
      <c r="F195" s="1664"/>
      <c r="G195" s="1664"/>
      <c r="H195" s="1664"/>
      <c r="I195" s="1664"/>
      <c r="J195" s="2060"/>
      <c r="K195" s="2060"/>
      <c r="L195" s="2060"/>
      <c r="M195" s="2061"/>
      <c r="N195" s="2061"/>
      <c r="O195" s="2061"/>
      <c r="P195" s="2061"/>
      <c r="Q195" s="2061"/>
      <c r="R195" s="2061"/>
      <c r="S195" s="2061"/>
      <c r="T195" s="235"/>
      <c r="U195" s="199"/>
    </row>
    <row r="196" spans="1:53" ht="14.25" customHeight="1" x14ac:dyDescent="0.2">
      <c r="A196" s="238" t="s">
        <v>5</v>
      </c>
      <c r="B196" s="233" t="s">
        <v>26</v>
      </c>
      <c r="C196" s="888" t="s">
        <v>5</v>
      </c>
      <c r="D196" s="1665" t="s">
        <v>90</v>
      </c>
      <c r="E196" s="183"/>
      <c r="F196" s="529">
        <v>6</v>
      </c>
      <c r="G196" s="896" t="s">
        <v>24</v>
      </c>
      <c r="H196" s="675">
        <v>1292</v>
      </c>
      <c r="I196" s="140">
        <v>1292</v>
      </c>
      <c r="J196" s="83"/>
      <c r="K196" s="158">
        <f>1690.5-30-200+120</f>
        <v>1580.5</v>
      </c>
      <c r="L196" s="433">
        <f>1690.5-30-200+120</f>
        <v>1580.5</v>
      </c>
      <c r="M196" s="432"/>
      <c r="N196" s="387">
        <f>1695-200</f>
        <v>1495</v>
      </c>
      <c r="O196" s="433">
        <f>1695-200</f>
        <v>1495</v>
      </c>
      <c r="P196" s="742"/>
      <c r="Q196" s="823"/>
      <c r="R196" s="824"/>
      <c r="S196" s="242"/>
      <c r="T196" s="824"/>
      <c r="U196" s="243"/>
    </row>
    <row r="197" spans="1:53" ht="17.25" customHeight="1" x14ac:dyDescent="0.2">
      <c r="A197" s="238"/>
      <c r="B197" s="233"/>
      <c r="C197" s="888"/>
      <c r="D197" s="2030"/>
      <c r="E197" s="245"/>
      <c r="F197" s="237"/>
      <c r="G197" s="248" t="s">
        <v>58</v>
      </c>
      <c r="H197" s="523">
        <f>100+35.1+196.7</f>
        <v>331.8</v>
      </c>
      <c r="I197" s="524">
        <f>100+35.1+196.7</f>
        <v>331.8</v>
      </c>
      <c r="J197" s="81"/>
      <c r="K197" s="627"/>
      <c r="L197" s="741"/>
      <c r="M197" s="739"/>
      <c r="N197" s="627"/>
      <c r="O197" s="741"/>
      <c r="P197" s="743"/>
      <c r="Q197" s="194"/>
      <c r="R197" s="349"/>
      <c r="S197" s="330"/>
      <c r="T197" s="436"/>
      <c r="U197" s="244"/>
    </row>
    <row r="198" spans="1:53" ht="14.25" customHeight="1" x14ac:dyDescent="0.2">
      <c r="A198" s="238"/>
      <c r="B198" s="233"/>
      <c r="C198" s="888"/>
      <c r="D198" s="1680" t="s">
        <v>246</v>
      </c>
      <c r="E198" s="183" t="s">
        <v>47</v>
      </c>
      <c r="F198" s="237"/>
      <c r="G198" s="896" t="s">
        <v>24</v>
      </c>
      <c r="H198" s="675"/>
      <c r="I198" s="772">
        <v>111</v>
      </c>
      <c r="J198" s="866">
        <f>I198-H198</f>
        <v>111</v>
      </c>
      <c r="K198" s="675"/>
      <c r="L198" s="689"/>
      <c r="M198" s="86"/>
      <c r="N198" s="675"/>
      <c r="O198" s="689"/>
      <c r="P198" s="569"/>
      <c r="Q198" s="626"/>
      <c r="R198" s="3"/>
      <c r="S198" s="348"/>
      <c r="T198" s="437"/>
      <c r="U198" s="1961" t="s">
        <v>343</v>
      </c>
    </row>
    <row r="199" spans="1:53" ht="11.25" customHeight="1" x14ac:dyDescent="0.2">
      <c r="A199" s="238"/>
      <c r="B199" s="233"/>
      <c r="C199" s="888"/>
      <c r="D199" s="2011"/>
      <c r="E199" s="183"/>
      <c r="F199" s="237"/>
      <c r="G199" s="896" t="s">
        <v>58</v>
      </c>
      <c r="H199" s="675"/>
      <c r="I199" s="772">
        <v>429</v>
      </c>
      <c r="J199" s="866">
        <f>I199-H199</f>
        <v>429</v>
      </c>
      <c r="K199" s="675"/>
      <c r="L199" s="689"/>
      <c r="M199" s="86"/>
      <c r="N199" s="675"/>
      <c r="O199" s="689"/>
      <c r="P199" s="569"/>
      <c r="Q199" s="261"/>
      <c r="R199" s="371"/>
      <c r="S199" s="629"/>
      <c r="T199" s="438"/>
      <c r="U199" s="1962"/>
    </row>
    <row r="200" spans="1:53" ht="27" customHeight="1" x14ac:dyDescent="0.2">
      <c r="A200" s="238"/>
      <c r="B200" s="233"/>
      <c r="C200" s="888"/>
      <c r="D200" s="246" t="s">
        <v>301</v>
      </c>
      <c r="E200" s="183"/>
      <c r="F200" s="237"/>
      <c r="G200" s="896"/>
      <c r="H200" s="674"/>
      <c r="I200" s="676"/>
      <c r="J200" s="710"/>
      <c r="K200" s="674"/>
      <c r="L200" s="676"/>
      <c r="M200" s="290"/>
      <c r="N200" s="674"/>
      <c r="O200" s="676"/>
      <c r="P200" s="592"/>
      <c r="Q200" s="41" t="s">
        <v>233</v>
      </c>
      <c r="R200" s="308">
        <v>10</v>
      </c>
      <c r="S200" s="439">
        <v>10</v>
      </c>
      <c r="T200" s="439">
        <v>10</v>
      </c>
      <c r="U200" s="1962"/>
    </row>
    <row r="201" spans="1:53" ht="24" customHeight="1" x14ac:dyDescent="0.2">
      <c r="A201" s="238"/>
      <c r="B201" s="233"/>
      <c r="C201" s="888"/>
      <c r="D201" s="1691" t="s">
        <v>262</v>
      </c>
      <c r="E201" s="183"/>
      <c r="F201" s="237"/>
      <c r="G201" s="896"/>
      <c r="H201" s="675"/>
      <c r="I201" s="689"/>
      <c r="J201" s="83"/>
      <c r="K201" s="675"/>
      <c r="L201" s="689"/>
      <c r="M201" s="86"/>
      <c r="N201" s="675"/>
      <c r="O201" s="689"/>
      <c r="P201" s="569"/>
      <c r="Q201" s="1693" t="s">
        <v>202</v>
      </c>
      <c r="R201" s="965">
        <v>580</v>
      </c>
      <c r="S201" s="440">
        <v>585</v>
      </c>
      <c r="T201" s="440">
        <v>596</v>
      </c>
      <c r="U201" s="1962"/>
    </row>
    <row r="202" spans="1:53" ht="15" customHeight="1" x14ac:dyDescent="0.2">
      <c r="A202" s="238"/>
      <c r="B202" s="233"/>
      <c r="C202" s="888"/>
      <c r="D202" s="2062"/>
      <c r="E202" s="183"/>
      <c r="F202" s="237"/>
      <c r="G202" s="896"/>
      <c r="H202" s="675"/>
      <c r="I202" s="689"/>
      <c r="J202" s="83"/>
      <c r="K202" s="675"/>
      <c r="L202" s="689"/>
      <c r="M202" s="86"/>
      <c r="N202" s="675"/>
      <c r="O202" s="689"/>
      <c r="P202" s="569"/>
      <c r="Q202" s="1694"/>
      <c r="R202" s="966">
        <v>726</v>
      </c>
      <c r="S202" s="519"/>
      <c r="T202" s="519"/>
      <c r="U202" s="1962"/>
    </row>
    <row r="203" spans="1:53" ht="30.75" customHeight="1" x14ac:dyDescent="0.2">
      <c r="A203" s="238"/>
      <c r="B203" s="233"/>
      <c r="C203" s="888"/>
      <c r="D203" s="262" t="s">
        <v>245</v>
      </c>
      <c r="E203" s="183"/>
      <c r="F203" s="237"/>
      <c r="G203" s="896"/>
      <c r="H203" s="674"/>
      <c r="I203" s="676"/>
      <c r="J203" s="710"/>
      <c r="K203" s="674"/>
      <c r="L203" s="676"/>
      <c r="M203" s="290"/>
      <c r="N203" s="674"/>
      <c r="O203" s="676"/>
      <c r="P203" s="592"/>
      <c r="Q203" s="890" t="s">
        <v>142</v>
      </c>
      <c r="R203" s="967" t="s">
        <v>332</v>
      </c>
      <c r="S203" s="439">
        <v>7</v>
      </c>
      <c r="T203" s="439">
        <v>7</v>
      </c>
      <c r="U203" s="1962"/>
    </row>
    <row r="204" spans="1:53" ht="19.5" customHeight="1" x14ac:dyDescent="0.2">
      <c r="A204" s="1683"/>
      <c r="B204" s="1684"/>
      <c r="C204" s="1685"/>
      <c r="D204" s="1661" t="s">
        <v>132</v>
      </c>
      <c r="E204" s="1687"/>
      <c r="F204" s="237"/>
      <c r="G204" s="575"/>
      <c r="H204" s="93"/>
      <c r="I204" s="125"/>
      <c r="J204" s="109"/>
      <c r="K204" s="93"/>
      <c r="L204" s="125"/>
      <c r="M204" s="109"/>
      <c r="N204" s="93"/>
      <c r="O204" s="125"/>
      <c r="P204" s="132"/>
      <c r="Q204" s="899" t="s">
        <v>141</v>
      </c>
      <c r="R204" s="153">
        <v>1</v>
      </c>
      <c r="S204" s="400"/>
      <c r="T204" s="146"/>
      <c r="U204" s="1962"/>
    </row>
    <row r="205" spans="1:53" ht="9" customHeight="1" x14ac:dyDescent="0.2">
      <c r="A205" s="1683"/>
      <c r="B205" s="1684"/>
      <c r="C205" s="1685"/>
      <c r="D205" s="1662"/>
      <c r="E205" s="2055"/>
      <c r="F205" s="237"/>
      <c r="G205" s="248"/>
      <c r="H205" s="523"/>
      <c r="I205" s="524"/>
      <c r="J205" s="85"/>
      <c r="K205" s="523"/>
      <c r="L205" s="524"/>
      <c r="M205" s="85"/>
      <c r="N205" s="523"/>
      <c r="O205" s="524"/>
      <c r="P205" s="131"/>
      <c r="Q205" s="870"/>
      <c r="R205" s="154"/>
      <c r="S205" s="383"/>
      <c r="T205" s="147"/>
      <c r="U205" s="223"/>
    </row>
    <row r="206" spans="1:53" ht="12.75" customHeight="1" x14ac:dyDescent="0.2">
      <c r="A206" s="1683"/>
      <c r="B206" s="1684"/>
      <c r="C206" s="1685"/>
      <c r="D206" s="1661" t="s">
        <v>302</v>
      </c>
      <c r="E206" s="1688"/>
      <c r="F206" s="237"/>
      <c r="G206" s="896"/>
      <c r="H206" s="675"/>
      <c r="I206" s="689"/>
      <c r="J206" s="86"/>
      <c r="K206" s="675"/>
      <c r="L206" s="689"/>
      <c r="M206" s="86"/>
      <c r="N206" s="675"/>
      <c r="O206" s="689"/>
      <c r="P206" s="569"/>
      <c r="Q206" s="869" t="s">
        <v>234</v>
      </c>
      <c r="R206" s="152">
        <v>1</v>
      </c>
      <c r="S206" s="400"/>
      <c r="T206" s="146"/>
      <c r="U206" s="223"/>
    </row>
    <row r="207" spans="1:53" ht="12.75" customHeight="1" x14ac:dyDescent="0.2">
      <c r="A207" s="1683"/>
      <c r="B207" s="1684"/>
      <c r="C207" s="1685"/>
      <c r="D207" s="1686"/>
      <c r="E207" s="1688"/>
      <c r="F207" s="237"/>
      <c r="G207" s="896"/>
      <c r="H207" s="675"/>
      <c r="I207" s="689"/>
      <c r="J207" s="86"/>
      <c r="K207" s="675"/>
      <c r="L207" s="689"/>
      <c r="M207" s="86"/>
      <c r="N207" s="675"/>
      <c r="O207" s="689"/>
      <c r="P207" s="569"/>
      <c r="Q207" s="869" t="s">
        <v>235</v>
      </c>
      <c r="R207" s="152">
        <v>1</v>
      </c>
      <c r="S207" s="335"/>
      <c r="T207" s="145"/>
      <c r="U207" s="223"/>
    </row>
    <row r="208" spans="1:53" ht="27.75" customHeight="1" x14ac:dyDescent="0.2">
      <c r="A208" s="1683"/>
      <c r="B208" s="1684"/>
      <c r="C208" s="1685"/>
      <c r="D208" s="1662"/>
      <c r="E208" s="1688"/>
      <c r="F208" s="237"/>
      <c r="G208" s="896"/>
      <c r="H208" s="675"/>
      <c r="I208" s="689"/>
      <c r="J208" s="86"/>
      <c r="K208" s="675"/>
      <c r="L208" s="689"/>
      <c r="M208" s="86"/>
      <c r="N208" s="675"/>
      <c r="O208" s="689"/>
      <c r="P208" s="569"/>
      <c r="Q208" s="869"/>
      <c r="R208" s="154"/>
      <c r="S208" s="383"/>
      <c r="T208" s="147"/>
      <c r="U208" s="223"/>
    </row>
    <row r="209" spans="1:53" ht="18.75" customHeight="1" x14ac:dyDescent="0.2">
      <c r="A209" s="874"/>
      <c r="B209" s="875"/>
      <c r="C209" s="877"/>
      <c r="D209" s="1679" t="s">
        <v>253</v>
      </c>
      <c r="E209" s="871"/>
      <c r="F209" s="878"/>
      <c r="G209" s="575"/>
      <c r="H209" s="93"/>
      <c r="I209" s="125"/>
      <c r="J209" s="132"/>
      <c r="K209" s="93"/>
      <c r="L209" s="806"/>
      <c r="M209" s="808"/>
      <c r="N209" s="93"/>
      <c r="O209" s="125"/>
      <c r="P209" s="132"/>
      <c r="Q209" s="887" t="s">
        <v>237</v>
      </c>
      <c r="R209" s="975">
        <v>4</v>
      </c>
      <c r="S209" s="588">
        <v>3</v>
      </c>
      <c r="T209" s="731">
        <v>3</v>
      </c>
      <c r="U209" s="1948"/>
      <c r="V209" s="8"/>
    </row>
    <row r="210" spans="1:53" ht="26.25" customHeight="1" x14ac:dyDescent="0.2">
      <c r="A210" s="874"/>
      <c r="B210" s="875"/>
      <c r="C210" s="877"/>
      <c r="D210" s="1680"/>
      <c r="E210" s="872"/>
      <c r="F210" s="878"/>
      <c r="G210" s="896"/>
      <c r="H210" s="675"/>
      <c r="I210" s="689"/>
      <c r="J210" s="569"/>
      <c r="K210" s="86"/>
      <c r="L210" s="689"/>
      <c r="M210" s="86"/>
      <c r="N210" s="675"/>
      <c r="O210" s="689"/>
      <c r="P210" s="569"/>
      <c r="Q210" s="41" t="s">
        <v>303</v>
      </c>
      <c r="R210" s="123">
        <v>3</v>
      </c>
      <c r="S210" s="123">
        <v>4</v>
      </c>
      <c r="T210" s="332">
        <v>3</v>
      </c>
      <c r="U210" s="1948"/>
      <c r="V210" s="8"/>
    </row>
    <row r="211" spans="1:53" ht="26.25" customHeight="1" x14ac:dyDescent="0.2">
      <c r="A211" s="25"/>
      <c r="B211" s="879"/>
      <c r="C211" s="877"/>
      <c r="D211" s="1680"/>
      <c r="E211" s="872"/>
      <c r="F211" s="878"/>
      <c r="G211" s="896"/>
      <c r="H211" s="675"/>
      <c r="I211" s="689"/>
      <c r="J211" s="569"/>
      <c r="K211" s="86"/>
      <c r="L211" s="689"/>
      <c r="M211" s="86"/>
      <c r="N211" s="675"/>
      <c r="O211" s="689"/>
      <c r="P211" s="569"/>
      <c r="Q211" s="41" t="s">
        <v>304</v>
      </c>
      <c r="R211" s="174">
        <v>8</v>
      </c>
      <c r="S211" s="409">
        <v>11</v>
      </c>
      <c r="T211" s="526">
        <v>14</v>
      </c>
      <c r="U211" s="1948"/>
      <c r="V211" s="8"/>
    </row>
    <row r="212" spans="1:53" ht="17.25" customHeight="1" x14ac:dyDescent="0.2">
      <c r="A212" s="25"/>
      <c r="B212" s="879"/>
      <c r="C212" s="877"/>
      <c r="D212" s="1680"/>
      <c r="E212" s="872"/>
      <c r="F212" s="878"/>
      <c r="G212" s="896"/>
      <c r="H212" s="675"/>
      <c r="I212" s="689"/>
      <c r="J212" s="86"/>
      <c r="K212" s="675"/>
      <c r="L212" s="689"/>
      <c r="M212" s="86"/>
      <c r="N212" s="675"/>
      <c r="O212" s="689"/>
      <c r="P212" s="569"/>
      <c r="Q212" s="30" t="s">
        <v>236</v>
      </c>
      <c r="R212" s="160">
        <v>100</v>
      </c>
      <c r="S212" s="308">
        <v>100</v>
      </c>
      <c r="T212" s="439">
        <v>100</v>
      </c>
      <c r="U212" s="1948"/>
      <c r="V212" s="8"/>
    </row>
    <row r="213" spans="1:53" ht="38.25" customHeight="1" x14ac:dyDescent="0.2">
      <c r="A213" s="25"/>
      <c r="B213" s="879"/>
      <c r="C213" s="337"/>
      <c r="D213" s="1703"/>
      <c r="E213" s="889"/>
      <c r="F213" s="237"/>
      <c r="G213" s="896"/>
      <c r="H213" s="675"/>
      <c r="I213" s="689"/>
      <c r="J213" s="86"/>
      <c r="K213" s="675"/>
      <c r="L213" s="689"/>
      <c r="M213" s="86"/>
      <c r="N213" s="675"/>
      <c r="O213" s="689"/>
      <c r="P213" s="569"/>
      <c r="Q213" s="532" t="s">
        <v>238</v>
      </c>
      <c r="R213" s="517">
        <v>5</v>
      </c>
      <c r="S213" s="333">
        <v>5</v>
      </c>
      <c r="T213" s="440">
        <v>5</v>
      </c>
      <c r="U213" s="1948"/>
      <c r="V213" s="8"/>
    </row>
    <row r="214" spans="1:53" s="47" customFormat="1" ht="36" customHeight="1" x14ac:dyDescent="0.2">
      <c r="A214" s="317"/>
      <c r="B214" s="318"/>
      <c r="C214" s="350"/>
      <c r="D214" s="148"/>
      <c r="E214" s="319"/>
      <c r="F214" s="628"/>
      <c r="G214" s="388"/>
      <c r="H214" s="502"/>
      <c r="I214" s="737"/>
      <c r="J214" s="708"/>
      <c r="K214" s="85"/>
      <c r="L214" s="524"/>
      <c r="M214" s="131"/>
      <c r="N214" s="523"/>
      <c r="O214" s="524"/>
      <c r="P214" s="131"/>
      <c r="Q214" s="890" t="s">
        <v>212</v>
      </c>
      <c r="R214" s="517"/>
      <c r="S214" s="440">
        <v>1</v>
      </c>
      <c r="T214" s="440"/>
      <c r="U214" s="1948"/>
    </row>
    <row r="215" spans="1:53" s="8" customFormat="1" ht="16.5" customHeight="1" thickBot="1" x14ac:dyDescent="0.25">
      <c r="A215" s="26"/>
      <c r="B215" s="883"/>
      <c r="C215" s="32"/>
      <c r="D215" s="624"/>
      <c r="E215" s="389"/>
      <c r="F215" s="193"/>
      <c r="G215" s="34" t="s">
        <v>6</v>
      </c>
      <c r="H215" s="155">
        <f t="shared" ref="H215:P215" si="21">SUM(H196:H214)</f>
        <v>1623.8</v>
      </c>
      <c r="I215" s="369">
        <f t="shared" si="21"/>
        <v>2163.8000000000002</v>
      </c>
      <c r="J215" s="368">
        <f t="shared" si="21"/>
        <v>540</v>
      </c>
      <c r="K215" s="155">
        <f t="shared" si="21"/>
        <v>1580.5</v>
      </c>
      <c r="L215" s="369">
        <f t="shared" si="21"/>
        <v>1580.5</v>
      </c>
      <c r="M215" s="368">
        <f t="shared" si="21"/>
        <v>0</v>
      </c>
      <c r="N215" s="155">
        <f t="shared" si="21"/>
        <v>1495</v>
      </c>
      <c r="O215" s="369">
        <f t="shared" si="21"/>
        <v>1495</v>
      </c>
      <c r="P215" s="368">
        <f t="shared" si="21"/>
        <v>0</v>
      </c>
      <c r="Q215" s="195"/>
      <c r="R215" s="38"/>
      <c r="S215" s="401"/>
      <c r="T215" s="356"/>
      <c r="U215" s="1949"/>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row>
    <row r="216" spans="1:53" ht="33" customHeight="1" x14ac:dyDescent="0.2">
      <c r="A216" s="29" t="s">
        <v>5</v>
      </c>
      <c r="B216" s="200" t="s">
        <v>26</v>
      </c>
      <c r="C216" s="201" t="s">
        <v>7</v>
      </c>
      <c r="D216" s="680" t="s">
        <v>147</v>
      </c>
      <c r="E216" s="99"/>
      <c r="F216" s="690" t="s">
        <v>50</v>
      </c>
      <c r="G216" s="159" t="s">
        <v>24</v>
      </c>
      <c r="H216" s="111">
        <v>38.299999999999997</v>
      </c>
      <c r="I216" s="140">
        <f>35.3+3</f>
        <v>38.299999999999997</v>
      </c>
      <c r="J216" s="110"/>
      <c r="K216" s="111">
        <v>11.2</v>
      </c>
      <c r="L216" s="140">
        <v>11.2</v>
      </c>
      <c r="M216" s="164"/>
      <c r="N216" s="111">
        <v>11.2</v>
      </c>
      <c r="O216" s="140">
        <v>11.2</v>
      </c>
      <c r="P216" s="164"/>
      <c r="Q216" s="820"/>
      <c r="R216" s="555"/>
      <c r="S216" s="443"/>
      <c r="T216" s="733"/>
      <c r="U216" s="223"/>
    </row>
    <row r="217" spans="1:53" ht="36.75" customHeight="1" x14ac:dyDescent="0.2">
      <c r="A217" s="238"/>
      <c r="B217" s="233"/>
      <c r="C217" s="679"/>
      <c r="D217" s="247" t="s">
        <v>305</v>
      </c>
      <c r="E217" s="819"/>
      <c r="F217" s="653"/>
      <c r="G217" s="522"/>
      <c r="H217" s="141"/>
      <c r="I217" s="738"/>
      <c r="J217" s="736"/>
      <c r="K217" s="141"/>
      <c r="L217" s="738"/>
      <c r="M217" s="740"/>
      <c r="N217" s="141"/>
      <c r="O217" s="738"/>
      <c r="P217" s="740"/>
      <c r="Q217" s="351" t="s">
        <v>139</v>
      </c>
      <c r="R217" s="565"/>
      <c r="S217" s="442"/>
      <c r="T217" s="732">
        <v>1</v>
      </c>
      <c r="U217" s="223"/>
    </row>
    <row r="218" spans="1:53" ht="41.25" customHeight="1" x14ac:dyDescent="0.2">
      <c r="A218" s="238"/>
      <c r="B218" s="233"/>
      <c r="C218" s="679"/>
      <c r="D218" s="681" t="s">
        <v>306</v>
      </c>
      <c r="E218" s="819"/>
      <c r="F218" s="653"/>
      <c r="G218" s="703"/>
      <c r="H218" s="675"/>
      <c r="I218" s="689"/>
      <c r="J218" s="86"/>
      <c r="K218" s="675"/>
      <c r="L218" s="689"/>
      <c r="M218" s="569"/>
      <c r="N218" s="675"/>
      <c r="O218" s="689"/>
      <c r="P218" s="569"/>
      <c r="Q218" s="699" t="s">
        <v>139</v>
      </c>
      <c r="R218" s="555">
        <v>1</v>
      </c>
      <c r="S218" s="443"/>
      <c r="T218" s="733"/>
      <c r="U218" s="223"/>
    </row>
    <row r="219" spans="1:53" ht="53.25" customHeight="1" x14ac:dyDescent="0.2">
      <c r="A219" s="238"/>
      <c r="B219" s="233"/>
      <c r="C219" s="679"/>
      <c r="D219" s="247" t="s">
        <v>254</v>
      </c>
      <c r="E219" s="819"/>
      <c r="F219" s="653"/>
      <c r="G219" s="522"/>
      <c r="H219" s="141"/>
      <c r="I219" s="738"/>
      <c r="J219" s="736"/>
      <c r="K219" s="141"/>
      <c r="L219" s="738"/>
      <c r="M219" s="740"/>
      <c r="N219" s="141"/>
      <c r="O219" s="738"/>
      <c r="P219" s="740"/>
      <c r="Q219" s="351" t="s">
        <v>139</v>
      </c>
      <c r="R219" s="565">
        <v>1</v>
      </c>
      <c r="S219" s="442"/>
      <c r="T219" s="732"/>
      <c r="U219" s="223"/>
    </row>
    <row r="220" spans="1:53" ht="40.5" customHeight="1" x14ac:dyDescent="0.2">
      <c r="A220" s="238"/>
      <c r="B220" s="233"/>
      <c r="C220" s="679"/>
      <c r="D220" s="681" t="s">
        <v>242</v>
      </c>
      <c r="E220" s="819"/>
      <c r="F220" s="653"/>
      <c r="G220" s="703"/>
      <c r="H220" s="675"/>
      <c r="I220" s="689"/>
      <c r="J220" s="86"/>
      <c r="K220" s="675"/>
      <c r="L220" s="689"/>
      <c r="M220" s="569"/>
      <c r="N220" s="675"/>
      <c r="O220" s="689"/>
      <c r="P220" s="569"/>
      <c r="Q220" s="699" t="s">
        <v>139</v>
      </c>
      <c r="R220" s="555"/>
      <c r="S220" s="443"/>
      <c r="T220" s="733">
        <v>1</v>
      </c>
      <c r="U220" s="223"/>
    </row>
    <row r="221" spans="1:53" ht="51" x14ac:dyDescent="0.2">
      <c r="A221" s="238"/>
      <c r="B221" s="233"/>
      <c r="C221" s="679"/>
      <c r="D221" s="247" t="s">
        <v>161</v>
      </c>
      <c r="E221" s="819"/>
      <c r="F221" s="653"/>
      <c r="G221" s="522"/>
      <c r="H221" s="141"/>
      <c r="I221" s="738"/>
      <c r="J221" s="736"/>
      <c r="K221" s="141"/>
      <c r="L221" s="738"/>
      <c r="M221" s="740"/>
      <c r="N221" s="141"/>
      <c r="O221" s="738"/>
      <c r="P221" s="740"/>
      <c r="Q221" s="351" t="s">
        <v>139</v>
      </c>
      <c r="R221" s="565"/>
      <c r="S221" s="442"/>
      <c r="T221" s="732">
        <v>1</v>
      </c>
      <c r="U221" s="223"/>
    </row>
    <row r="222" spans="1:53" ht="39" customHeight="1" x14ac:dyDescent="0.2">
      <c r="A222" s="238"/>
      <c r="B222" s="233"/>
      <c r="C222" s="679"/>
      <c r="D222" s="247" t="s">
        <v>255</v>
      </c>
      <c r="E222" s="101"/>
      <c r="F222" s="878"/>
      <c r="G222" s="248"/>
      <c r="H222" s="523"/>
      <c r="I222" s="524"/>
      <c r="J222" s="85"/>
      <c r="K222" s="523"/>
      <c r="L222" s="524"/>
      <c r="M222" s="131"/>
      <c r="N222" s="523"/>
      <c r="O222" s="524"/>
      <c r="P222" s="131"/>
      <c r="Q222" s="351" t="s">
        <v>139</v>
      </c>
      <c r="R222" s="565">
        <v>1</v>
      </c>
      <c r="S222" s="442"/>
      <c r="T222" s="565"/>
      <c r="U222" s="223"/>
    </row>
    <row r="223" spans="1:53" ht="40.5" customHeight="1" x14ac:dyDescent="0.2">
      <c r="A223" s="238"/>
      <c r="B223" s="233"/>
      <c r="C223" s="818"/>
      <c r="D223" s="886" t="s">
        <v>318</v>
      </c>
      <c r="E223" s="101"/>
      <c r="F223" s="878"/>
      <c r="G223" s="248"/>
      <c r="H223" s="523"/>
      <c r="I223" s="524"/>
      <c r="J223" s="85"/>
      <c r="K223" s="523"/>
      <c r="L223" s="524"/>
      <c r="M223" s="131"/>
      <c r="N223" s="523"/>
      <c r="O223" s="524"/>
      <c r="P223" s="131"/>
      <c r="Q223" s="351" t="s">
        <v>139</v>
      </c>
      <c r="R223" s="565">
        <v>1</v>
      </c>
      <c r="S223" s="442"/>
      <c r="T223" s="732"/>
      <c r="U223" s="977"/>
    </row>
    <row r="224" spans="1:53" ht="168" customHeight="1" x14ac:dyDescent="0.2">
      <c r="A224" s="238"/>
      <c r="B224" s="233"/>
      <c r="C224" s="972"/>
      <c r="D224" s="976" t="s">
        <v>333</v>
      </c>
      <c r="E224" s="101"/>
      <c r="F224" s="973"/>
      <c r="G224" s="248" t="s">
        <v>24</v>
      </c>
      <c r="H224" s="523"/>
      <c r="I224" s="424">
        <v>11.3</v>
      </c>
      <c r="J224" s="948">
        <f>I224-H224</f>
        <v>11.3</v>
      </c>
      <c r="K224" s="523"/>
      <c r="L224" s="524"/>
      <c r="M224" s="131"/>
      <c r="N224" s="523"/>
      <c r="O224" s="524"/>
      <c r="P224" s="131"/>
      <c r="Q224" s="351" t="s">
        <v>139</v>
      </c>
      <c r="R224" s="565">
        <v>1</v>
      </c>
      <c r="S224" s="442"/>
      <c r="T224" s="732"/>
      <c r="U224" s="977" t="s">
        <v>349</v>
      </c>
    </row>
    <row r="225" spans="1:53" s="8" customFormat="1" ht="16.5" customHeight="1" thickBot="1" x14ac:dyDescent="0.25">
      <c r="A225" s="25"/>
      <c r="B225" s="665"/>
      <c r="C225" s="696"/>
      <c r="D225" s="624"/>
      <c r="E225" s="389"/>
      <c r="F225" s="61"/>
      <c r="G225" s="34" t="s">
        <v>6</v>
      </c>
      <c r="H225" s="155">
        <f>SUM(H216:H222)</f>
        <v>38.299999999999997</v>
      </c>
      <c r="I225" s="369">
        <f>SUM(I216:I224)</f>
        <v>49.6</v>
      </c>
      <c r="J225" s="369">
        <f>SUM(J216:J224)</f>
        <v>11.3</v>
      </c>
      <c r="K225" s="155">
        <f t="shared" ref="K225:L225" si="22">SUM(K216:K222)</f>
        <v>11.2</v>
      </c>
      <c r="L225" s="369">
        <f t="shared" si="22"/>
        <v>11.2</v>
      </c>
      <c r="M225" s="368">
        <f t="shared" ref="M225:P225" si="23">SUM(M216:M222)</f>
        <v>0</v>
      </c>
      <c r="N225" s="155">
        <f t="shared" ref="N225:O225" si="24">SUM(N216:N222)</f>
        <v>11.2</v>
      </c>
      <c r="O225" s="369">
        <f t="shared" si="24"/>
        <v>11.2</v>
      </c>
      <c r="P225" s="368">
        <f t="shared" si="23"/>
        <v>0</v>
      </c>
      <c r="Q225" s="195"/>
      <c r="R225" s="38"/>
      <c r="S225" s="401"/>
      <c r="T225" s="356"/>
      <c r="U225" s="357"/>
      <c r="V225" s="3"/>
      <c r="W225" s="3"/>
      <c r="X225" s="3"/>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3"/>
      <c r="AW225" s="3"/>
      <c r="AX225" s="3"/>
      <c r="AY225" s="3"/>
      <c r="AZ225" s="3"/>
      <c r="BA225" s="3"/>
    </row>
    <row r="226" spans="1:53" ht="13.5" thickBot="1" x14ac:dyDescent="0.25">
      <c r="A226" s="27" t="s">
        <v>5</v>
      </c>
      <c r="B226" s="6" t="s">
        <v>26</v>
      </c>
      <c r="C226" s="1649" t="s">
        <v>8</v>
      </c>
      <c r="D226" s="1650"/>
      <c r="E226" s="1650"/>
      <c r="F226" s="1650"/>
      <c r="G226" s="1651"/>
      <c r="H226" s="156">
        <f>H225+H215</f>
        <v>1662.1</v>
      </c>
      <c r="I226" s="218">
        <f>I225+I215</f>
        <v>2213.4</v>
      </c>
      <c r="J226" s="321">
        <f>J225+J215</f>
        <v>551.29999999999995</v>
      </c>
      <c r="K226" s="156">
        <f t="shared" ref="K226:L226" si="25">K225+K215</f>
        <v>1591.7</v>
      </c>
      <c r="L226" s="218">
        <f t="shared" si="25"/>
        <v>1591.7</v>
      </c>
      <c r="M226" s="321">
        <f t="shared" ref="M226:P226" si="26">M225+M215</f>
        <v>0</v>
      </c>
      <c r="N226" s="156">
        <f t="shared" ref="N226:O226" si="27">N225+N215</f>
        <v>1506.2</v>
      </c>
      <c r="O226" s="218">
        <f t="shared" si="27"/>
        <v>1506.2</v>
      </c>
      <c r="P226" s="321">
        <f t="shared" si="26"/>
        <v>0</v>
      </c>
      <c r="Q226" s="232"/>
      <c r="R226" s="232"/>
      <c r="S226" s="232"/>
      <c r="T226" s="232"/>
      <c r="U226" s="197"/>
    </row>
    <row r="227" spans="1:53" ht="15.75" customHeight="1" thickBot="1" x14ac:dyDescent="0.25">
      <c r="A227" s="27" t="s">
        <v>5</v>
      </c>
      <c r="B227" s="6" t="s">
        <v>34</v>
      </c>
      <c r="C227" s="1663" t="s">
        <v>43</v>
      </c>
      <c r="D227" s="2064"/>
      <c r="E227" s="2064"/>
      <c r="F227" s="2064"/>
      <c r="G227" s="2064"/>
      <c r="H227" s="2064"/>
      <c r="I227" s="2064"/>
      <c r="J227" s="2064"/>
      <c r="K227" s="682"/>
      <c r="L227" s="682"/>
      <c r="M227" s="682"/>
      <c r="N227" s="682"/>
      <c r="O227" s="682"/>
      <c r="P227" s="682"/>
      <c r="Q227" s="698"/>
      <c r="R227" s="235"/>
      <c r="S227" s="235"/>
      <c r="T227" s="235"/>
      <c r="U227" s="199"/>
    </row>
    <row r="228" spans="1:53" s="47" customFormat="1" ht="15.75" customHeight="1" x14ac:dyDescent="0.2">
      <c r="A228" s="2048" t="s">
        <v>5</v>
      </c>
      <c r="B228" s="2049" t="s">
        <v>34</v>
      </c>
      <c r="C228" s="2050" t="s">
        <v>5</v>
      </c>
      <c r="D228" s="2051" t="s">
        <v>175</v>
      </c>
      <c r="E228" s="2052" t="s">
        <v>47</v>
      </c>
      <c r="F228" s="690" t="s">
        <v>27</v>
      </c>
      <c r="G228" s="184" t="s">
        <v>24</v>
      </c>
      <c r="H228" s="185">
        <v>100</v>
      </c>
      <c r="I228" s="968">
        <f>100-78.1</f>
        <v>21.9</v>
      </c>
      <c r="J228" s="969">
        <f>I228-H228</f>
        <v>-78.099999999999994</v>
      </c>
      <c r="K228" s="185">
        <v>200</v>
      </c>
      <c r="L228" s="968">
        <f>200+78.1</f>
        <v>278.10000000000002</v>
      </c>
      <c r="M228" s="969">
        <f>L228-K228</f>
        <v>78.099999999999994</v>
      </c>
      <c r="N228" s="185">
        <v>200</v>
      </c>
      <c r="O228" s="225">
        <v>200</v>
      </c>
      <c r="P228" s="448"/>
      <c r="Q228" s="552" t="s">
        <v>174</v>
      </c>
      <c r="R228" s="970">
        <v>1322</v>
      </c>
      <c r="S228" s="553">
        <v>670</v>
      </c>
      <c r="T228" s="553">
        <v>670</v>
      </c>
      <c r="U228" s="2056" t="s">
        <v>350</v>
      </c>
    </row>
    <row r="229" spans="1:53" s="47" customFormat="1" ht="129" customHeight="1" x14ac:dyDescent="0.2">
      <c r="A229" s="1668"/>
      <c r="B229" s="1670"/>
      <c r="C229" s="1672"/>
      <c r="D229" s="1674"/>
      <c r="E229" s="2053"/>
      <c r="F229" s="653"/>
      <c r="G229" s="352" t="s">
        <v>58</v>
      </c>
      <c r="H229" s="447">
        <f>100+123.9</f>
        <v>223.9</v>
      </c>
      <c r="I229" s="451">
        <f>100+123.9</f>
        <v>223.9</v>
      </c>
      <c r="J229" s="449"/>
      <c r="K229" s="447"/>
      <c r="L229" s="451"/>
      <c r="M229" s="449"/>
      <c r="N229" s="447"/>
      <c r="O229" s="451"/>
      <c r="P229" s="449"/>
      <c r="Q229" s="573"/>
      <c r="R229" s="971">
        <v>785</v>
      </c>
      <c r="S229" s="574"/>
      <c r="T229" s="574"/>
      <c r="U229" s="2057"/>
    </row>
    <row r="230" spans="1:53" s="47" customFormat="1" ht="53.25" customHeight="1" thickBot="1" x14ac:dyDescent="0.25">
      <c r="A230" s="292"/>
      <c r="B230" s="293"/>
      <c r="C230" s="296"/>
      <c r="D230" s="294"/>
      <c r="E230" s="295"/>
      <c r="F230" s="255"/>
      <c r="G230" s="636" t="s">
        <v>6</v>
      </c>
      <c r="H230" s="162">
        <f t="shared" ref="H230:P230" si="28">SUM(H228:H229)</f>
        <v>323.89999999999998</v>
      </c>
      <c r="I230" s="163">
        <f t="shared" si="28"/>
        <v>245.8</v>
      </c>
      <c r="J230" s="450">
        <f t="shared" si="28"/>
        <v>-78.099999999999994</v>
      </c>
      <c r="K230" s="162">
        <f t="shared" si="28"/>
        <v>200</v>
      </c>
      <c r="L230" s="163">
        <f t="shared" si="28"/>
        <v>278.10000000000002</v>
      </c>
      <c r="M230" s="450">
        <f t="shared" si="28"/>
        <v>78.099999999999994</v>
      </c>
      <c r="N230" s="162">
        <f t="shared" si="28"/>
        <v>200</v>
      </c>
      <c r="O230" s="163">
        <f t="shared" si="28"/>
        <v>200</v>
      </c>
      <c r="P230" s="450">
        <f t="shared" si="28"/>
        <v>0</v>
      </c>
      <c r="Q230" s="205"/>
      <c r="R230" s="186"/>
      <c r="S230" s="186"/>
      <c r="T230" s="186"/>
      <c r="U230" s="2058"/>
    </row>
    <row r="231" spans="1:53" ht="15" customHeight="1" x14ac:dyDescent="0.2">
      <c r="A231" s="659" t="s">
        <v>5</v>
      </c>
      <c r="B231" s="660" t="s">
        <v>34</v>
      </c>
      <c r="C231" s="696" t="s">
        <v>7</v>
      </c>
      <c r="D231" s="1686" t="s">
        <v>118</v>
      </c>
      <c r="E231" s="101" t="s">
        <v>47</v>
      </c>
      <c r="F231" s="653" t="s">
        <v>46</v>
      </c>
      <c r="G231" s="367" t="s">
        <v>58</v>
      </c>
      <c r="H231" s="111">
        <v>46.8</v>
      </c>
      <c r="I231" s="140">
        <v>46.8</v>
      </c>
      <c r="J231" s="164"/>
      <c r="K231" s="110"/>
      <c r="L231" s="140"/>
      <c r="M231" s="164"/>
      <c r="N231" s="110"/>
      <c r="O231" s="140"/>
      <c r="P231" s="164"/>
      <c r="Q231" s="219" t="s">
        <v>87</v>
      </c>
      <c r="R231" s="220" t="s">
        <v>50</v>
      </c>
      <c r="S231" s="445"/>
      <c r="T231" s="445"/>
      <c r="U231" s="223"/>
    </row>
    <row r="232" spans="1:53" ht="13.5" customHeight="1" x14ac:dyDescent="0.2">
      <c r="A232" s="25"/>
      <c r="B232" s="660"/>
      <c r="C232" s="61"/>
      <c r="D232" s="1686"/>
      <c r="E232" s="101"/>
      <c r="F232" s="653"/>
      <c r="G232" s="365"/>
      <c r="H232" s="523"/>
      <c r="I232" s="524"/>
      <c r="J232" s="131"/>
      <c r="K232" s="523"/>
      <c r="L232" s="524"/>
      <c r="M232" s="131"/>
      <c r="N232" s="523"/>
      <c r="O232" s="524"/>
      <c r="P232" s="131"/>
      <c r="Q232" s="688" t="s">
        <v>264</v>
      </c>
      <c r="R232" s="222"/>
      <c r="S232" s="145"/>
      <c r="T232" s="145"/>
      <c r="U232" s="223"/>
    </row>
    <row r="233" spans="1:53" s="47" customFormat="1" ht="16.5" customHeight="1" thickBot="1" x14ac:dyDescent="0.25">
      <c r="A233" s="26"/>
      <c r="B233" s="56"/>
      <c r="C233" s="193"/>
      <c r="D233" s="2054"/>
      <c r="E233" s="100"/>
      <c r="F233" s="384"/>
      <c r="G233" s="636" t="s">
        <v>6</v>
      </c>
      <c r="H233" s="162">
        <f>SUM(H231:H232)</f>
        <v>46.8</v>
      </c>
      <c r="I233" s="163">
        <f>SUM(I231:I232)</f>
        <v>46.8</v>
      </c>
      <c r="J233" s="450">
        <f>SUM(J231:J232)</f>
        <v>0</v>
      </c>
      <c r="K233" s="162">
        <f t="shared" ref="K233:M233" si="29">SUM(K231:K232)</f>
        <v>0</v>
      </c>
      <c r="L233" s="163">
        <f t="shared" ref="L233" si="30">SUM(L231:L232)</f>
        <v>0</v>
      </c>
      <c r="M233" s="450">
        <f t="shared" si="29"/>
        <v>0</v>
      </c>
      <c r="N233" s="162">
        <f>N231</f>
        <v>0</v>
      </c>
      <c r="O233" s="163">
        <f>O231</f>
        <v>0</v>
      </c>
      <c r="P233" s="450">
        <f>P231</f>
        <v>0</v>
      </c>
      <c r="Q233" s="205"/>
      <c r="R233" s="224"/>
      <c r="S233" s="446"/>
      <c r="T233" s="446"/>
      <c r="U233" s="223"/>
    </row>
    <row r="234" spans="1:53" ht="17.25" customHeight="1" x14ac:dyDescent="0.2">
      <c r="A234" s="659" t="s">
        <v>5</v>
      </c>
      <c r="B234" s="660" t="s">
        <v>34</v>
      </c>
      <c r="C234" s="696" t="s">
        <v>26</v>
      </c>
      <c r="D234" s="1686" t="s">
        <v>307</v>
      </c>
      <c r="E234" s="101" t="s">
        <v>47</v>
      </c>
      <c r="F234" s="653" t="s">
        <v>46</v>
      </c>
      <c r="G234" s="366" t="s">
        <v>24</v>
      </c>
      <c r="H234" s="675">
        <v>20</v>
      </c>
      <c r="I234" s="689">
        <v>20</v>
      </c>
      <c r="J234" s="569"/>
      <c r="K234" s="110"/>
      <c r="L234" s="140"/>
      <c r="M234" s="164"/>
      <c r="N234" s="110"/>
      <c r="O234" s="140"/>
      <c r="P234" s="164"/>
      <c r="Q234" s="219" t="s">
        <v>205</v>
      </c>
      <c r="R234" s="220" t="s">
        <v>206</v>
      </c>
      <c r="S234" s="445"/>
      <c r="T234" s="445"/>
      <c r="U234" s="223"/>
    </row>
    <row r="235" spans="1:53" ht="12" customHeight="1" x14ac:dyDescent="0.2">
      <c r="A235" s="25"/>
      <c r="B235" s="660"/>
      <c r="C235" s="61"/>
      <c r="D235" s="1686"/>
      <c r="E235" s="101"/>
      <c r="F235" s="653"/>
      <c r="G235" s="365"/>
      <c r="H235" s="523"/>
      <c r="I235" s="524"/>
      <c r="J235" s="131"/>
      <c r="K235" s="523"/>
      <c r="L235" s="524"/>
      <c r="M235" s="131"/>
      <c r="N235" s="523"/>
      <c r="O235" s="524"/>
      <c r="P235" s="131"/>
      <c r="Q235" s="688"/>
      <c r="R235" s="222"/>
      <c r="S235" s="145"/>
      <c r="T235" s="145"/>
      <c r="U235" s="223"/>
    </row>
    <row r="236" spans="1:53" s="47" customFormat="1" ht="17.25" customHeight="1" thickBot="1" x14ac:dyDescent="0.25">
      <c r="A236" s="26"/>
      <c r="B236" s="56"/>
      <c r="C236" s="193"/>
      <c r="D236" s="2054"/>
      <c r="E236" s="100"/>
      <c r="F236" s="384"/>
      <c r="G236" s="636" t="s">
        <v>6</v>
      </c>
      <c r="H236" s="162">
        <f>SUM(H234:H235)</f>
        <v>20</v>
      </c>
      <c r="I236" s="163">
        <f>SUM(I234:I235)</f>
        <v>20</v>
      </c>
      <c r="J236" s="450">
        <f>SUM(J234:J235)</f>
        <v>0</v>
      </c>
      <c r="K236" s="162">
        <f t="shared" ref="K236:M236" si="31">SUM(K234:K235)</f>
        <v>0</v>
      </c>
      <c r="L236" s="163">
        <f t="shared" ref="L236" si="32">SUM(L234:L235)</f>
        <v>0</v>
      </c>
      <c r="M236" s="450">
        <f t="shared" si="31"/>
        <v>0</v>
      </c>
      <c r="N236" s="162">
        <f>N234</f>
        <v>0</v>
      </c>
      <c r="O236" s="163">
        <f>O234</f>
        <v>0</v>
      </c>
      <c r="P236" s="450">
        <f>P234</f>
        <v>0</v>
      </c>
      <c r="Q236" s="205"/>
      <c r="R236" s="224"/>
      <c r="S236" s="446"/>
      <c r="T236" s="446"/>
      <c r="U236" s="161"/>
    </row>
    <row r="237" spans="1:53" ht="13.5" thickBot="1" x14ac:dyDescent="0.25">
      <c r="A237" s="671" t="s">
        <v>5</v>
      </c>
      <c r="B237" s="234" t="s">
        <v>34</v>
      </c>
      <c r="C237" s="1872" t="s">
        <v>8</v>
      </c>
      <c r="D237" s="1873"/>
      <c r="E237" s="1873"/>
      <c r="F237" s="1873"/>
      <c r="G237" s="1873"/>
      <c r="H237" s="156">
        <f>H233+H230+H236</f>
        <v>390.7</v>
      </c>
      <c r="I237" s="218">
        <f>I233+I230+I236</f>
        <v>312.60000000000002</v>
      </c>
      <c r="J237" s="321">
        <f>J233+J230+J236</f>
        <v>-78.099999999999994</v>
      </c>
      <c r="K237" s="156">
        <f t="shared" ref="K237:L237" si="33">K233+K230+K236</f>
        <v>200</v>
      </c>
      <c r="L237" s="218">
        <f t="shared" si="33"/>
        <v>278.10000000000002</v>
      </c>
      <c r="M237" s="321">
        <f t="shared" ref="M237:P237" si="34">M233+M230+M236</f>
        <v>78.099999999999994</v>
      </c>
      <c r="N237" s="156">
        <f t="shared" ref="N237:O237" si="35">N233+N230+N236</f>
        <v>200</v>
      </c>
      <c r="O237" s="218">
        <f t="shared" si="35"/>
        <v>200</v>
      </c>
      <c r="P237" s="321">
        <f t="shared" si="34"/>
        <v>0</v>
      </c>
      <c r="Q237" s="232"/>
      <c r="R237" s="232"/>
      <c r="S237" s="232"/>
      <c r="T237" s="232"/>
      <c r="U237" s="197"/>
    </row>
    <row r="238" spans="1:53" ht="14.25" customHeight="1" thickBot="1" x14ac:dyDescent="0.25">
      <c r="A238" s="28" t="s">
        <v>5</v>
      </c>
      <c r="B238" s="1652" t="s">
        <v>9</v>
      </c>
      <c r="C238" s="1653"/>
      <c r="D238" s="1653"/>
      <c r="E238" s="1653"/>
      <c r="F238" s="1653"/>
      <c r="G238" s="1653"/>
      <c r="H238" s="95">
        <f t="shared" ref="H238:P238" si="36">H237+H226+H194+H176</f>
        <v>14639.5</v>
      </c>
      <c r="I238" s="452">
        <f t="shared" si="36"/>
        <v>12709.7</v>
      </c>
      <c r="J238" s="744">
        <f t="shared" si="36"/>
        <v>-1929.8</v>
      </c>
      <c r="K238" s="95">
        <f t="shared" si="36"/>
        <v>21098.3</v>
      </c>
      <c r="L238" s="452">
        <f t="shared" si="36"/>
        <v>22919.7</v>
      </c>
      <c r="M238" s="744">
        <f t="shared" si="36"/>
        <v>1821.4</v>
      </c>
      <c r="N238" s="95">
        <f t="shared" si="36"/>
        <v>22636.1</v>
      </c>
      <c r="O238" s="452">
        <f t="shared" si="36"/>
        <v>22636.1</v>
      </c>
      <c r="P238" s="744">
        <f t="shared" si="36"/>
        <v>0</v>
      </c>
      <c r="Q238" s="1654"/>
      <c r="R238" s="2046"/>
      <c r="S238" s="2046"/>
      <c r="T238" s="2046"/>
      <c r="U238" s="2047"/>
    </row>
    <row r="239" spans="1:53" ht="14.25" customHeight="1" thickBot="1" x14ac:dyDescent="0.25">
      <c r="A239" s="20" t="s">
        <v>36</v>
      </c>
      <c r="B239" s="1657" t="s">
        <v>56</v>
      </c>
      <c r="C239" s="1658"/>
      <c r="D239" s="1658"/>
      <c r="E239" s="1658"/>
      <c r="F239" s="1658"/>
      <c r="G239" s="1658"/>
      <c r="H239" s="96">
        <f t="shared" ref="H239:I239" si="37">SUM(H238)</f>
        <v>14639.5</v>
      </c>
      <c r="I239" s="453">
        <f t="shared" si="37"/>
        <v>12709.7</v>
      </c>
      <c r="J239" s="745">
        <f t="shared" ref="J239:P239" si="38">SUM(J238)</f>
        <v>-1929.8</v>
      </c>
      <c r="K239" s="96">
        <f t="shared" ref="K239:L239" si="39">SUM(K238)</f>
        <v>21098.3</v>
      </c>
      <c r="L239" s="453">
        <f t="shared" si="39"/>
        <v>22919.7</v>
      </c>
      <c r="M239" s="746">
        <f t="shared" si="38"/>
        <v>1821.4</v>
      </c>
      <c r="N239" s="96">
        <f t="shared" ref="N239:O239" si="40">SUM(N238)</f>
        <v>22636.1</v>
      </c>
      <c r="O239" s="453">
        <f t="shared" si="40"/>
        <v>22636.1</v>
      </c>
      <c r="P239" s="746">
        <f t="shared" si="38"/>
        <v>0</v>
      </c>
      <c r="Q239" s="1659"/>
      <c r="R239" s="1659"/>
      <c r="S239" s="1659"/>
      <c r="T239" s="1659"/>
      <c r="U239" s="1660"/>
      <c r="V239" s="8"/>
      <c r="W239" s="8"/>
      <c r="X239" s="8"/>
      <c r="Y239" s="8"/>
      <c r="Z239" s="8"/>
      <c r="AA239" s="8"/>
      <c r="AB239" s="8"/>
      <c r="AC239" s="8"/>
      <c r="AD239" s="8"/>
      <c r="AE239" s="8"/>
      <c r="AF239" s="8"/>
      <c r="AG239" s="8"/>
      <c r="AH239" s="8"/>
      <c r="AI239" s="8"/>
      <c r="AJ239" s="8"/>
      <c r="AK239" s="8"/>
      <c r="AL239" s="8"/>
      <c r="AM239" s="8"/>
      <c r="AN239" s="8"/>
      <c r="AO239" s="8"/>
      <c r="AP239" s="8"/>
      <c r="AQ239" s="8"/>
      <c r="AR239" s="8"/>
      <c r="AS239" s="8"/>
      <c r="AT239" s="8"/>
      <c r="AU239" s="8"/>
      <c r="AV239" s="8"/>
      <c r="AW239" s="8"/>
      <c r="AX239" s="8"/>
    </row>
    <row r="240" spans="1:53" s="9" customFormat="1" ht="16.5" customHeight="1" x14ac:dyDescent="0.2">
      <c r="A240" s="521"/>
      <c r="B240" s="343"/>
      <c r="C240" s="343"/>
      <c r="D240" s="343"/>
      <c r="E240" s="343"/>
      <c r="F240" s="343"/>
      <c r="G240" s="343"/>
      <c r="H240" s="343"/>
      <c r="I240" s="343"/>
      <c r="J240" s="343"/>
      <c r="K240" s="343"/>
      <c r="L240" s="343"/>
      <c r="M240" s="343"/>
      <c r="N240" s="343"/>
      <c r="O240" s="343"/>
      <c r="P240" s="343"/>
      <c r="Q240" s="343"/>
      <c r="R240" s="521"/>
      <c r="S240" s="521"/>
      <c r="T240" s="521"/>
      <c r="U240" s="521"/>
    </row>
    <row r="241" spans="1:50" s="9" customFormat="1" ht="17.25" customHeight="1" x14ac:dyDescent="0.2">
      <c r="A241" s="521"/>
      <c r="B241" s="475"/>
      <c r="C241" s="475"/>
      <c r="D241" s="475"/>
      <c r="E241" s="475"/>
      <c r="F241" s="475"/>
      <c r="G241" s="475"/>
      <c r="H241" s="475"/>
      <c r="I241" s="475"/>
      <c r="J241" s="475"/>
      <c r="K241" s="475"/>
      <c r="L241" s="475"/>
      <c r="M241" s="475"/>
      <c r="N241" s="475"/>
      <c r="O241" s="475"/>
      <c r="P241" s="475"/>
      <c r="Q241" s="475"/>
      <c r="R241" s="521"/>
      <c r="S241" s="521"/>
      <c r="T241" s="521"/>
      <c r="U241" s="521"/>
    </row>
    <row r="242" spans="1:50" s="10" customFormat="1" ht="14.25" customHeight="1" thickBot="1" x14ac:dyDescent="0.25">
      <c r="A242" s="1636" t="s">
        <v>13</v>
      </c>
      <c r="B242" s="1636"/>
      <c r="C242" s="1636"/>
      <c r="D242" s="1636"/>
      <c r="E242" s="1636"/>
      <c r="F242" s="1636"/>
      <c r="G242" s="1636"/>
      <c r="H242" s="685"/>
      <c r="I242" s="685"/>
      <c r="J242" s="685"/>
      <c r="K242" s="685"/>
      <c r="L242" s="685"/>
      <c r="M242" s="685"/>
      <c r="N242" s="685"/>
      <c r="O242" s="685"/>
      <c r="P242" s="685"/>
      <c r="Q242" s="17"/>
      <c r="R242" s="17"/>
      <c r="S242" s="17"/>
      <c r="T242" s="17"/>
      <c r="U242" s="17"/>
      <c r="V242" s="9"/>
      <c r="W242" s="9"/>
      <c r="X242" s="9"/>
      <c r="Y242" s="9"/>
      <c r="Z242" s="9"/>
      <c r="AA242" s="9"/>
      <c r="AB242" s="9"/>
      <c r="AC242" s="9"/>
      <c r="AD242" s="9"/>
      <c r="AE242" s="9"/>
      <c r="AF242" s="9"/>
      <c r="AG242" s="9"/>
      <c r="AH242" s="9"/>
      <c r="AI242" s="9"/>
      <c r="AJ242" s="9"/>
      <c r="AK242" s="9"/>
      <c r="AL242" s="9"/>
      <c r="AM242" s="9"/>
      <c r="AN242" s="9"/>
      <c r="AO242" s="9"/>
      <c r="AP242" s="9"/>
      <c r="AQ242" s="9"/>
      <c r="AR242" s="9"/>
      <c r="AS242" s="9"/>
      <c r="AT242" s="9"/>
      <c r="AU242" s="9"/>
      <c r="AV242" s="9"/>
      <c r="AW242" s="9"/>
      <c r="AX242" s="9"/>
    </row>
    <row r="243" spans="1:50" ht="69" customHeight="1" thickBot="1" x14ac:dyDescent="0.25">
      <c r="A243" s="1637" t="s">
        <v>10</v>
      </c>
      <c r="B243" s="1638"/>
      <c r="C243" s="1638"/>
      <c r="D243" s="1638"/>
      <c r="E243" s="1638"/>
      <c r="F243" s="1638"/>
      <c r="G243" s="1639"/>
      <c r="H243" s="747" t="s">
        <v>203</v>
      </c>
      <c r="I243" s="748" t="s">
        <v>311</v>
      </c>
      <c r="J243" s="749" t="s">
        <v>193</v>
      </c>
      <c r="K243" s="750" t="s">
        <v>148</v>
      </c>
      <c r="L243" s="748" t="s">
        <v>194</v>
      </c>
      <c r="M243" s="749" t="s">
        <v>193</v>
      </c>
      <c r="N243" s="750" t="s">
        <v>198</v>
      </c>
      <c r="O243" s="748" t="s">
        <v>310</v>
      </c>
      <c r="P243" s="749" t="s">
        <v>193</v>
      </c>
      <c r="Q243" s="2"/>
      <c r="R243" s="2"/>
      <c r="S243" s="2"/>
      <c r="T243" s="2"/>
      <c r="U243" s="2"/>
      <c r="V243" s="8"/>
      <c r="W243" s="8"/>
      <c r="X243" s="8"/>
      <c r="Y243" s="8"/>
      <c r="Z243" s="8"/>
      <c r="AA243" s="8"/>
      <c r="AB243" s="8"/>
      <c r="AC243" s="8"/>
      <c r="AD243" s="8"/>
      <c r="AE243" s="8"/>
      <c r="AF243" s="8"/>
      <c r="AG243" s="8"/>
      <c r="AH243" s="8"/>
      <c r="AI243" s="8"/>
      <c r="AJ243" s="8"/>
      <c r="AK243" s="8"/>
      <c r="AL243" s="8"/>
      <c r="AM243" s="8"/>
      <c r="AN243" s="8"/>
      <c r="AO243" s="8"/>
      <c r="AP243" s="8"/>
      <c r="AQ243" s="8"/>
      <c r="AR243" s="8"/>
      <c r="AS243" s="8"/>
      <c r="AT243" s="8"/>
      <c r="AU243" s="8"/>
      <c r="AV243" s="8"/>
      <c r="AW243" s="8"/>
      <c r="AX243" s="8"/>
    </row>
    <row r="244" spans="1:50" ht="14.25" customHeight="1" x14ac:dyDescent="0.2">
      <c r="A244" s="1640" t="s">
        <v>14</v>
      </c>
      <c r="B244" s="1641"/>
      <c r="C244" s="1641"/>
      <c r="D244" s="1641"/>
      <c r="E244" s="1641"/>
      <c r="F244" s="1641"/>
      <c r="G244" s="1642"/>
      <c r="H244" s="454">
        <f t="shared" ref="H244:P244" si="41">H245+H254+H255+H256+H253</f>
        <v>13837</v>
      </c>
      <c r="I244" s="466">
        <f t="shared" si="41"/>
        <v>11907.2</v>
      </c>
      <c r="J244" s="457">
        <f t="shared" si="41"/>
        <v>-1929.8</v>
      </c>
      <c r="K244" s="454">
        <f t="shared" si="41"/>
        <v>17567.900000000001</v>
      </c>
      <c r="L244" s="466">
        <f t="shared" si="41"/>
        <v>19389.3</v>
      </c>
      <c r="M244" s="457">
        <f t="shared" si="41"/>
        <v>1821.4</v>
      </c>
      <c r="N244" s="454">
        <f t="shared" si="41"/>
        <v>16369.6</v>
      </c>
      <c r="O244" s="466">
        <f t="shared" si="41"/>
        <v>16369.6</v>
      </c>
      <c r="P244" s="457">
        <f t="shared" si="41"/>
        <v>0</v>
      </c>
      <c r="V244" s="8"/>
      <c r="W244" s="8"/>
      <c r="X244" s="8"/>
      <c r="Y244" s="8"/>
      <c r="Z244" s="8"/>
      <c r="AA244" s="8"/>
      <c r="AB244" s="8"/>
      <c r="AC244" s="8"/>
      <c r="AD244" s="8"/>
      <c r="AE244" s="8"/>
      <c r="AF244" s="8"/>
      <c r="AG244" s="8"/>
      <c r="AH244" s="8"/>
      <c r="AI244" s="8"/>
      <c r="AJ244" s="8"/>
      <c r="AK244" s="8"/>
      <c r="AL244" s="8"/>
      <c r="AM244" s="8"/>
      <c r="AN244" s="8"/>
      <c r="AO244" s="8"/>
      <c r="AP244" s="8"/>
      <c r="AQ244" s="8"/>
      <c r="AR244" s="8"/>
      <c r="AS244" s="8"/>
      <c r="AT244" s="8"/>
      <c r="AU244" s="8"/>
      <c r="AV244" s="8"/>
      <c r="AW244" s="8"/>
      <c r="AX244" s="8"/>
    </row>
    <row r="245" spans="1:50" ht="14.25" customHeight="1" x14ac:dyDescent="0.2">
      <c r="A245" s="1643" t="s">
        <v>81</v>
      </c>
      <c r="B245" s="1644"/>
      <c r="C245" s="1644"/>
      <c r="D245" s="1644"/>
      <c r="E245" s="1644"/>
      <c r="F245" s="1644"/>
      <c r="G245" s="1645"/>
      <c r="H245" s="476">
        <f t="shared" ref="H245:P245" si="42">SUM(H246:H252)</f>
        <v>11031.4</v>
      </c>
      <c r="I245" s="462">
        <f t="shared" si="42"/>
        <v>9101.6</v>
      </c>
      <c r="J245" s="458">
        <f t="shared" si="42"/>
        <v>-1929.8</v>
      </c>
      <c r="K245" s="476">
        <f t="shared" si="42"/>
        <v>17567.900000000001</v>
      </c>
      <c r="L245" s="462">
        <f t="shared" si="42"/>
        <v>19389.3</v>
      </c>
      <c r="M245" s="458">
        <f t="shared" si="42"/>
        <v>1821.4</v>
      </c>
      <c r="N245" s="476">
        <f t="shared" si="42"/>
        <v>16369.6</v>
      </c>
      <c r="O245" s="462">
        <f t="shared" si="42"/>
        <v>16369.6</v>
      </c>
      <c r="P245" s="458">
        <f t="shared" si="42"/>
        <v>0</v>
      </c>
      <c r="Q245" s="264"/>
      <c r="V245" s="8"/>
      <c r="W245" s="8"/>
      <c r="X245" s="8"/>
      <c r="Y245" s="8"/>
      <c r="Z245" s="8"/>
      <c r="AA245" s="8"/>
      <c r="AB245" s="8"/>
      <c r="AC245" s="8"/>
      <c r="AD245" s="8"/>
      <c r="AE245" s="8"/>
      <c r="AF245" s="8"/>
      <c r="AG245" s="8"/>
      <c r="AH245" s="8"/>
      <c r="AI245" s="8"/>
      <c r="AJ245" s="8"/>
      <c r="AK245" s="8"/>
      <c r="AL245" s="8"/>
      <c r="AM245" s="8"/>
      <c r="AN245" s="8"/>
      <c r="AO245" s="8"/>
      <c r="AP245" s="8"/>
      <c r="AQ245" s="8"/>
      <c r="AR245" s="8"/>
      <c r="AS245" s="8"/>
      <c r="AT245" s="8"/>
      <c r="AU245" s="8"/>
      <c r="AV245" s="8"/>
      <c r="AW245" s="8"/>
      <c r="AX245" s="8"/>
    </row>
    <row r="246" spans="1:50" ht="14.25" customHeight="1" x14ac:dyDescent="0.2">
      <c r="A246" s="1646" t="s">
        <v>18</v>
      </c>
      <c r="B246" s="1647"/>
      <c r="C246" s="1647"/>
      <c r="D246" s="1647"/>
      <c r="E246" s="1647"/>
      <c r="F246" s="1647"/>
      <c r="G246" s="1648"/>
      <c r="H246" s="523">
        <f>SUMIF(G10:G239,"SB",H10:H239)</f>
        <v>9243.1</v>
      </c>
      <c r="I246" s="524">
        <f>SUMIF(G10:G239,"SB",I10:I239)</f>
        <v>9056.6</v>
      </c>
      <c r="J246" s="131">
        <f>SUMIF(G10:G239,"SB",J10:J239)</f>
        <v>-186.5</v>
      </c>
      <c r="K246" s="523">
        <f>SUMIF(G10:G239,"SB",K10:K239)</f>
        <v>12996</v>
      </c>
      <c r="L246" s="524">
        <f>SUMIF(G10:G239,"SB",L10:L239)</f>
        <v>13074.1</v>
      </c>
      <c r="M246" s="131">
        <f>SUMIF(G10:G239,"SB",M10:M239)</f>
        <v>78.099999999999994</v>
      </c>
      <c r="N246" s="523">
        <f>SUMIF(G10:G239,"SB",N10:N239)</f>
        <v>13304.2</v>
      </c>
      <c r="O246" s="524">
        <f>SUMIF(G10:G239,"SB",O10:O239)</f>
        <v>13304.2</v>
      </c>
      <c r="P246" s="131">
        <f>SUMIF(G10:G239,"SB",P10:P239)</f>
        <v>0</v>
      </c>
      <c r="Q246" s="13"/>
      <c r="V246" s="8"/>
      <c r="W246" s="8"/>
      <c r="X246" s="8"/>
      <c r="Y246" s="8"/>
      <c r="Z246" s="8"/>
      <c r="AA246" s="8"/>
      <c r="AB246" s="8"/>
      <c r="AC246" s="8"/>
      <c r="AD246" s="8"/>
      <c r="AE246" s="8"/>
      <c r="AF246" s="8"/>
      <c r="AG246" s="8"/>
      <c r="AH246" s="8"/>
      <c r="AI246" s="8"/>
      <c r="AJ246" s="8"/>
      <c r="AK246" s="8"/>
      <c r="AL246" s="8"/>
      <c r="AM246" s="8"/>
      <c r="AN246" s="8"/>
      <c r="AO246" s="8"/>
      <c r="AP246" s="8"/>
      <c r="AQ246" s="8"/>
      <c r="AR246" s="8"/>
      <c r="AS246" s="8"/>
      <c r="AT246" s="8"/>
      <c r="AU246" s="8"/>
      <c r="AV246" s="8"/>
      <c r="AW246" s="8"/>
      <c r="AX246" s="8"/>
    </row>
    <row r="247" spans="1:50" ht="14.25" customHeight="1" x14ac:dyDescent="0.2">
      <c r="A247" s="1607" t="s">
        <v>19</v>
      </c>
      <c r="B247" s="1608"/>
      <c r="C247" s="1608"/>
      <c r="D247" s="1608"/>
      <c r="E247" s="1608"/>
      <c r="F247" s="1608"/>
      <c r="G247" s="1609"/>
      <c r="H247" s="361">
        <f>SUMIF(G12:G239,"SB(SP)",H12:H239)</f>
        <v>34.700000000000003</v>
      </c>
      <c r="I247" s="467">
        <f>SUMIF(G12:G239,"SB(SP)",I12:I239)</f>
        <v>34.700000000000003</v>
      </c>
      <c r="J247" s="459">
        <f>SUMIF(G12:G239,"SB(SP)",J12:J239)</f>
        <v>0</v>
      </c>
      <c r="K247" s="361">
        <f>SUMIF(G17:G239,"SB(SP)",K17:K239)</f>
        <v>34.700000000000003</v>
      </c>
      <c r="L247" s="467">
        <f>SUMIF(G17:G239,"SB(SP)",L17:L239)</f>
        <v>34.700000000000003</v>
      </c>
      <c r="M247" s="459">
        <f>SUMIF(G17:G239,"SB(SP)",M17:M239)</f>
        <v>0</v>
      </c>
      <c r="N247" s="361">
        <f>SUMIF(G17:G239,"SB(SP)",N17:N239)</f>
        <v>34.700000000000003</v>
      </c>
      <c r="O247" s="467">
        <f>SUMIF(G17:G239,"SB(SP)",O17:O239)</f>
        <v>34.700000000000003</v>
      </c>
      <c r="P247" s="459">
        <f>SUMIF(G17:G239,"SB(SP)",P17:P239)</f>
        <v>0</v>
      </c>
      <c r="Q247" s="18"/>
    </row>
    <row r="248" spans="1:50" ht="12.75" customHeight="1" x14ac:dyDescent="0.2">
      <c r="A248" s="1607" t="s">
        <v>66</v>
      </c>
      <c r="B248" s="1608"/>
      <c r="C248" s="1608"/>
      <c r="D248" s="1608"/>
      <c r="E248" s="1608"/>
      <c r="F248" s="1608"/>
      <c r="G248" s="1609"/>
      <c r="H248" s="361">
        <f>SUMIF(G12:G239,"SB(VR)",H12:H239)</f>
        <v>0</v>
      </c>
      <c r="I248" s="467">
        <f>SUMIF(G12:G239,"SB(VR)",I12:I239)</f>
        <v>0</v>
      </c>
      <c r="J248" s="459">
        <f>SUMIF(G12:G239,"SB(VR)",J12:J239)</f>
        <v>0</v>
      </c>
      <c r="K248" s="361">
        <f>SUMIF(G12:G239,"SB(VR)",K12:K239)</f>
        <v>0</v>
      </c>
      <c r="L248" s="467">
        <f>SUMIF(G12:G239,"SB(VR)",L12:L239)</f>
        <v>0</v>
      </c>
      <c r="M248" s="459">
        <f>SUMIF(G12:G239,"SB(VR)",M12:M239)</f>
        <v>0</v>
      </c>
      <c r="N248" s="361">
        <f>SUMIF(G12:G239,"SB(VR)",N12:N239)</f>
        <v>0</v>
      </c>
      <c r="O248" s="467">
        <f>SUMIF(G12:G239,"SB(VR)",O12:O239)</f>
        <v>0</v>
      </c>
      <c r="P248" s="459">
        <f>SUMIF(G12:G239,"SB(VR)",P12:P239)</f>
        <v>0</v>
      </c>
      <c r="Q248" s="15"/>
      <c r="R248" s="1"/>
      <c r="S248" s="1"/>
      <c r="T248" s="1"/>
      <c r="U248" s="1"/>
    </row>
    <row r="249" spans="1:50" x14ac:dyDescent="0.2">
      <c r="A249" s="1607" t="s">
        <v>20</v>
      </c>
      <c r="B249" s="1608"/>
      <c r="C249" s="1608"/>
      <c r="D249" s="1608"/>
      <c r="E249" s="1608"/>
      <c r="F249" s="1608"/>
      <c r="G249" s="1609"/>
      <c r="H249" s="361">
        <f>SUMIF(G12:G239,"SB(P)",H12:H239)</f>
        <v>0</v>
      </c>
      <c r="I249" s="467">
        <f>SUMIF(G12:G239,"SB(P)",I12:I239)</f>
        <v>0</v>
      </c>
      <c r="J249" s="459">
        <f>SUMIF(G12:G239,"SB(P)",J12:J239)</f>
        <v>0</v>
      </c>
      <c r="K249" s="361">
        <f>SUMIF(G12:G239,"SB(P)",K12:K239)</f>
        <v>0</v>
      </c>
      <c r="L249" s="467">
        <f>SUMIF(G12:G239,"SB(P)",L12:L239)</f>
        <v>0</v>
      </c>
      <c r="M249" s="459">
        <f>SUMIF(G12:G239,"SB(P)",M12:M239)</f>
        <v>0</v>
      </c>
      <c r="N249" s="361">
        <f>SUMIF(G12:G239,"SB(P)",N12:N239)</f>
        <v>0</v>
      </c>
      <c r="O249" s="467">
        <f>SUMIF(G12:G239,"SB(P)",O12:O239)</f>
        <v>0</v>
      </c>
      <c r="P249" s="459">
        <f>SUMIF(G12:G239,"SB(P)",P12:P239)</f>
        <v>0</v>
      </c>
      <c r="Q249" s="15"/>
      <c r="R249" s="1"/>
      <c r="S249" s="1"/>
      <c r="T249" s="1"/>
      <c r="U249" s="1"/>
    </row>
    <row r="250" spans="1:50" x14ac:dyDescent="0.2">
      <c r="A250" s="1607" t="s">
        <v>84</v>
      </c>
      <c r="B250" s="1608"/>
      <c r="C250" s="1608"/>
      <c r="D250" s="1608"/>
      <c r="E250" s="1608"/>
      <c r="F250" s="1608"/>
      <c r="G250" s="1609"/>
      <c r="H250" s="361">
        <f>SUMIF(G13:G239,"SB(VB)",H13:H239)</f>
        <v>142.1</v>
      </c>
      <c r="I250" s="467">
        <f>SUMIF(G13:G239,"SB(VB)",I13:I239)</f>
        <v>0.9</v>
      </c>
      <c r="J250" s="459">
        <f>SUMIF(G13:G239,"SB(VB)",J13:J239)</f>
        <v>-141.19999999999999</v>
      </c>
      <c r="K250" s="361">
        <f>SUMIF(G14:G239,"SB(VB)",K14:K239)</f>
        <v>368</v>
      </c>
      <c r="L250" s="467">
        <f>SUMIF(G14:G239,"SB(VB)",L14:L239)</f>
        <v>509.2</v>
      </c>
      <c r="M250" s="459">
        <f>SUMIF(G14:G239,"SB(VB)",M14:M239)</f>
        <v>141.19999999999999</v>
      </c>
      <c r="N250" s="361">
        <f>SUMIF(G14:G239,"SB(VB)",N14:N239)</f>
        <v>245.8</v>
      </c>
      <c r="O250" s="467">
        <f>SUMIF(G14:G239,"SB(VB)",O14:O239)</f>
        <v>245.8</v>
      </c>
      <c r="P250" s="459">
        <f>SUMIF(G14:G239,"SB(VB)",P14:P239)</f>
        <v>0</v>
      </c>
    </row>
    <row r="251" spans="1:50" x14ac:dyDescent="0.2">
      <c r="A251" s="1632" t="s">
        <v>153</v>
      </c>
      <c r="B251" s="1633"/>
      <c r="C251" s="1633"/>
      <c r="D251" s="1633"/>
      <c r="E251" s="1633"/>
      <c r="F251" s="1633"/>
      <c r="G251" s="1634"/>
      <c r="H251" s="361">
        <f>SUMIF(G12:G239,"SB(KPP)",H12:H239)</f>
        <v>0</v>
      </c>
      <c r="I251" s="467">
        <f>SUMIF(G12:G239,"SB(KPP)",I12:I239)</f>
        <v>0</v>
      </c>
      <c r="J251" s="459">
        <f>SUMIF(G12:G239,"SB(KPP)",J12:J239)</f>
        <v>0</v>
      </c>
      <c r="K251" s="361">
        <f>SUMIF(G15:G236,"SB(KPP)",K15:K236)</f>
        <v>0</v>
      </c>
      <c r="L251" s="467">
        <f>SUMIF(G15:G236,"SB(KPP)",L15:L236)</f>
        <v>0</v>
      </c>
      <c r="M251" s="459">
        <f>SUMIF(G15:G233,"SB(KPP)",M15:M233)</f>
        <v>0</v>
      </c>
      <c r="N251" s="361">
        <f>SUMIF(G15:G233,"SB(KPP)",N15:N233)</f>
        <v>0</v>
      </c>
      <c r="O251" s="467">
        <f>SUMIF(G15:G233,"SB(KPP)",O15:O233)</f>
        <v>0</v>
      </c>
      <c r="P251" s="459">
        <f>SUMIF(G15:G233,"SB(KPP)",P15:P233)</f>
        <v>0</v>
      </c>
      <c r="Q251" s="43"/>
      <c r="R251" s="43"/>
      <c r="S251" s="43"/>
      <c r="T251" s="43"/>
      <c r="U251" s="43"/>
    </row>
    <row r="252" spans="1:50" ht="25.5" customHeight="1" x14ac:dyDescent="0.2">
      <c r="A252" s="1610" t="s">
        <v>191</v>
      </c>
      <c r="B252" s="1611"/>
      <c r="C252" s="1611"/>
      <c r="D252" s="1611"/>
      <c r="E252" s="1611"/>
      <c r="F252" s="1611"/>
      <c r="G252" s="1612"/>
      <c r="H252" s="361">
        <f>SUMIF(G12:G237,"SB(ES)",H12:H237)</f>
        <v>1611.5</v>
      </c>
      <c r="I252" s="759">
        <f>SUMIF(G12:G237,"SB(ES)",I12:I237)</f>
        <v>9.4</v>
      </c>
      <c r="J252" s="758">
        <f>SUMIF(G12:G237,"SB(ES)",J12:J237)</f>
        <v>-1602.1</v>
      </c>
      <c r="K252" s="361">
        <f>SUMIF(G15:G238,"SB(ES)",K15:K238)</f>
        <v>4169.2</v>
      </c>
      <c r="L252" s="467">
        <f>SUMIF(G15:G238,"SB(ES)",L15:L238)</f>
        <v>5771.3</v>
      </c>
      <c r="M252" s="459">
        <f>SUMIF(G15:G238,"SB(ES)",M15:M238)</f>
        <v>1602.1</v>
      </c>
      <c r="N252" s="361">
        <f>SUMIF(G15:G238,"SB(ES)",N15:N238)</f>
        <v>2784.9</v>
      </c>
      <c r="O252" s="467">
        <f>SUMIF(G15:G238,"SB(ES)",O15:O238)</f>
        <v>2784.9</v>
      </c>
      <c r="P252" s="459">
        <f>SUMIF(G15:G238,"SB(ES)",P15:P238)</f>
        <v>0</v>
      </c>
    </row>
    <row r="253" spans="1:50" ht="14.25" customHeight="1" x14ac:dyDescent="0.2">
      <c r="A253" s="1623" t="s">
        <v>59</v>
      </c>
      <c r="B253" s="1624"/>
      <c r="C253" s="1624"/>
      <c r="D253" s="1624"/>
      <c r="E253" s="1624"/>
      <c r="F253" s="1624"/>
      <c r="G253" s="1625"/>
      <c r="H253" s="455">
        <f>SUMIF(G12:G235,"SB(L)",H12:H235)</f>
        <v>2801.2</v>
      </c>
      <c r="I253" s="468">
        <f>SUMIF(G12:G235,"SB(L)",I12:I235)</f>
        <v>2801.2</v>
      </c>
      <c r="J253" s="751">
        <f>SUMIF(G12:G233,"SB(L)",J12:J233)</f>
        <v>0</v>
      </c>
      <c r="K253" s="455">
        <f>SUMIF(G17:G233,"SB(L)",K17:K233)</f>
        <v>0</v>
      </c>
      <c r="L253" s="468">
        <f>SUMIF(G17:G233,"SB(L)",L17:L233)</f>
        <v>0</v>
      </c>
      <c r="M253" s="460">
        <f>SUMIF(G17:G233,"SB(L)",M17:M233)</f>
        <v>0</v>
      </c>
      <c r="N253" s="455">
        <f>SUMIF(G17:G237,"SB(L)",N17:N238)</f>
        <v>0</v>
      </c>
      <c r="O253" s="468">
        <f>SUMIF(G17:G236,"SB(L)",O17:O237)</f>
        <v>0</v>
      </c>
      <c r="P253" s="460">
        <f>SUMIF(J17:J233,"SB(L)",P17:P233)</f>
        <v>0</v>
      </c>
    </row>
    <row r="254" spans="1:50" x14ac:dyDescent="0.2">
      <c r="A254" s="1623" t="s">
        <v>82</v>
      </c>
      <c r="B254" s="1624"/>
      <c r="C254" s="1624"/>
      <c r="D254" s="1624"/>
      <c r="E254" s="1624"/>
      <c r="F254" s="1624"/>
      <c r="G254" s="1625"/>
      <c r="H254" s="473">
        <f>SUMIF(G17:G239,"SB(SPL)",H17:H239)</f>
        <v>4.4000000000000004</v>
      </c>
      <c r="I254" s="464">
        <f>SUMIF(G17:G239,"SB(SPL)",I17:I239)</f>
        <v>4.4000000000000004</v>
      </c>
      <c r="J254" s="752">
        <f>SUMIF(G17:G239,"SB(SPL)",J17:J239)</f>
        <v>0</v>
      </c>
      <c r="K254" s="473">
        <f>SUMIF(G17:G239,"SB(SPL)",K17:K239)</f>
        <v>0</v>
      </c>
      <c r="L254" s="464">
        <f>SUMIF(G17:G239,"SB(SPL)",L17:L239)</f>
        <v>0</v>
      </c>
      <c r="M254" s="753">
        <f>SUMIF(G17:G239,"SB(SPL)",M17:M239)</f>
        <v>0</v>
      </c>
      <c r="N254" s="473">
        <f>SUMIF(G17:G239,"SB(SPL)",N17:N239)</f>
        <v>0</v>
      </c>
      <c r="O254" s="464">
        <f>SUMIF(G17:G239,"SB(SPL)",O17:O239)</f>
        <v>0</v>
      </c>
      <c r="P254" s="756">
        <f>SUMIF(J17:J239,"SB(SPL)",P17:P239)</f>
        <v>0</v>
      </c>
    </row>
    <row r="255" spans="1:50" x14ac:dyDescent="0.2">
      <c r="A255" s="1623" t="s">
        <v>85</v>
      </c>
      <c r="B255" s="1624"/>
      <c r="C255" s="1624"/>
      <c r="D255" s="1624"/>
      <c r="E255" s="1624"/>
      <c r="F255" s="1624"/>
      <c r="G255" s="1625"/>
      <c r="H255" s="473">
        <f>SUMIF(G12:G239,"SB(ŽPL)",H12:H239)</f>
        <v>0</v>
      </c>
      <c r="I255" s="464">
        <f>SUMIF(G12:G239,"SB(ŽPL)",I12:I239)</f>
        <v>0</v>
      </c>
      <c r="J255" s="752">
        <f>SUMIF(G12:G239,"SB(ŽPL)",J12:J239)</f>
        <v>0</v>
      </c>
      <c r="K255" s="473">
        <f>SUMIF(G12:G239,"SB(ŽPL)",K12:K239)</f>
        <v>0</v>
      </c>
      <c r="L255" s="464">
        <f>SUMIF(G12:G239,"SB(ŽPL)",L12:L239)</f>
        <v>0</v>
      </c>
      <c r="M255" s="753">
        <f>SUMIF(G12:G239,"SB(ŽPL)",M12:M239)</f>
        <v>0</v>
      </c>
      <c r="N255" s="473">
        <f>SUMIF(G12:G239,"SB(ŽPL)",N12:N239)</f>
        <v>0</v>
      </c>
      <c r="O255" s="464">
        <f>SUMIF(G12:G239,"SB(ŽPL)",O12:O239)</f>
        <v>0</v>
      </c>
      <c r="P255" s="756">
        <f>SUMIF(J12:J239,"SB(ŽPL)",P12:P239)</f>
        <v>0</v>
      </c>
    </row>
    <row r="256" spans="1:50" ht="12" customHeight="1" x14ac:dyDescent="0.2">
      <c r="A256" s="1623" t="s">
        <v>83</v>
      </c>
      <c r="B256" s="1624"/>
      <c r="C256" s="1624"/>
      <c r="D256" s="1624"/>
      <c r="E256" s="1624"/>
      <c r="F256" s="1624"/>
      <c r="G256" s="1625"/>
      <c r="H256" s="455">
        <f>SUMIF(G12:G239,"SB(VRL)",H12:H239)</f>
        <v>0</v>
      </c>
      <c r="I256" s="468">
        <f>SUMIF(G12:G239,"SB(VRL)",I12:I239)</f>
        <v>0</v>
      </c>
      <c r="J256" s="460">
        <f>SUMIF(G12:G239,"SB(VRL)",J12:J239)</f>
        <v>0</v>
      </c>
      <c r="K256" s="455">
        <f>SUMIF(G17:G239,"SB(VRL)",K17:K239)</f>
        <v>0</v>
      </c>
      <c r="L256" s="468">
        <f>SUMIF(G17:G239,"SB(VRL)",L17:L239)</f>
        <v>0</v>
      </c>
      <c r="M256" s="460">
        <f>SUMIF(G17:G239,"SB(VRL)",M17:M239)</f>
        <v>0</v>
      </c>
      <c r="N256" s="455">
        <f>SUMIF(G17:G239,"SB(VRL)",N17:N239)</f>
        <v>0</v>
      </c>
      <c r="O256" s="468">
        <f>SUMIF(G17:G239,"SB(VRL)",O17:O239)</f>
        <v>0</v>
      </c>
      <c r="P256" s="460">
        <f>SUMIF(J17:J239,"SB(VRL)",P17:P239)</f>
        <v>0</v>
      </c>
    </row>
    <row r="257" spans="1:53" x14ac:dyDescent="0.2">
      <c r="A257" s="1626" t="s">
        <v>15</v>
      </c>
      <c r="B257" s="1627"/>
      <c r="C257" s="1627"/>
      <c r="D257" s="1627"/>
      <c r="E257" s="1627"/>
      <c r="F257" s="1627"/>
      <c r="G257" s="1628"/>
      <c r="H257" s="477">
        <f t="shared" ref="H257:I257" si="43">SUM(H258:H261)</f>
        <v>802.5</v>
      </c>
      <c r="I257" s="465">
        <f t="shared" si="43"/>
        <v>802.5</v>
      </c>
      <c r="J257" s="754">
        <f t="shared" ref="J257:P257" si="44">SUM(J258:J261)</f>
        <v>0</v>
      </c>
      <c r="K257" s="477">
        <f t="shared" ref="K257:L257" si="45">SUM(K258:K261)</f>
        <v>3530.4</v>
      </c>
      <c r="L257" s="465">
        <f t="shared" si="45"/>
        <v>3530.4</v>
      </c>
      <c r="M257" s="754">
        <f t="shared" si="44"/>
        <v>0</v>
      </c>
      <c r="N257" s="477">
        <f t="shared" ref="N257:O257" si="46">SUM(N258:N261)</f>
        <v>6266.5</v>
      </c>
      <c r="O257" s="465">
        <f t="shared" si="46"/>
        <v>6266.5</v>
      </c>
      <c r="P257" s="757">
        <f t="shared" si="44"/>
        <v>0</v>
      </c>
    </row>
    <row r="258" spans="1:53" x14ac:dyDescent="0.2">
      <c r="A258" s="1629" t="s">
        <v>124</v>
      </c>
      <c r="B258" s="1630"/>
      <c r="C258" s="1630"/>
      <c r="D258" s="1630"/>
      <c r="E258" s="1630"/>
      <c r="F258" s="1630"/>
      <c r="G258" s="1631"/>
      <c r="H258" s="361">
        <f>SUMIF(G15:G239,"KVJUD",H15:H239)</f>
        <v>0</v>
      </c>
      <c r="I258" s="467">
        <f>SUMIF(G15:G239,"KVJUD",I15:I239)</f>
        <v>0</v>
      </c>
      <c r="J258" s="459">
        <f>SUMIF(G15:G239,"KVJUD",J15:J239)</f>
        <v>0</v>
      </c>
      <c r="K258" s="361">
        <f>SUMIF(G17:G239,"KVJUD",K15:K239)</f>
        <v>0</v>
      </c>
      <c r="L258" s="467">
        <f>SUMIF(G17:G239,"KVJUD",L15:L239)</f>
        <v>0</v>
      </c>
      <c r="M258" s="459">
        <f>SUMIF(G17:G239,"KVJUD",M15:M239)</f>
        <v>0</v>
      </c>
      <c r="N258" s="361">
        <f>SUMIF(G15:G239,"KVJUD",N15:N239)</f>
        <v>0</v>
      </c>
      <c r="O258" s="467">
        <f>SUMIF(G15:G239,"KVJUD",O15:O239)</f>
        <v>0</v>
      </c>
      <c r="P258" s="459">
        <f>SUMIF(G15:G239,"KVJUD",P15:P239)</f>
        <v>0</v>
      </c>
    </row>
    <row r="259" spans="1:53" ht="13.5" customHeight="1" x14ac:dyDescent="0.2">
      <c r="A259" s="1607" t="s">
        <v>22</v>
      </c>
      <c r="B259" s="1608"/>
      <c r="C259" s="1608"/>
      <c r="D259" s="1608"/>
      <c r="E259" s="1608"/>
      <c r="F259" s="1608"/>
      <c r="G259" s="1609"/>
      <c r="H259" s="361">
        <f>SUMIF(G12:G239,"LRVB",H12:H239)</f>
        <v>65.099999999999994</v>
      </c>
      <c r="I259" s="467">
        <f>SUMIF(G12:G239,"LRVB",I12:I239)</f>
        <v>65.099999999999994</v>
      </c>
      <c r="J259" s="459">
        <f>SUMIF(G12:G239,"LRVB",J12:J239)</f>
        <v>0</v>
      </c>
      <c r="K259" s="361">
        <f>SUMIF(G12:G239,"LRVB",K12:K239)</f>
        <v>210.3</v>
      </c>
      <c r="L259" s="467">
        <f>SUMIF(G12:G239,"LRVB",L12:L239)</f>
        <v>210.3</v>
      </c>
      <c r="M259" s="459">
        <f>SUMIF(G12:G239,"LRVB",M12:M239)</f>
        <v>0</v>
      </c>
      <c r="N259" s="361">
        <f>SUMIF(G12:G239,"LRVB",N12:N239)</f>
        <v>432.1</v>
      </c>
      <c r="O259" s="467">
        <f>SUMIF(G12:G239,"LRVB",O12:O239)</f>
        <v>432.1</v>
      </c>
      <c r="P259" s="459">
        <f>SUMIF(G12:G239,"LRVB",P12:P239)</f>
        <v>0</v>
      </c>
    </row>
    <row r="260" spans="1:53" ht="14.25" customHeight="1" x14ac:dyDescent="0.2">
      <c r="A260" s="1610" t="s">
        <v>21</v>
      </c>
      <c r="B260" s="1611"/>
      <c r="C260" s="1611"/>
      <c r="D260" s="1611"/>
      <c r="E260" s="1611"/>
      <c r="F260" s="1611"/>
      <c r="G260" s="1612"/>
      <c r="H260" s="474">
        <f>SUMIF(G17:G237,"ES",H17:H237)</f>
        <v>737.4</v>
      </c>
      <c r="I260" s="463">
        <f>SUMIF(G17:G237,"ES",I17:I237)</f>
        <v>737.4</v>
      </c>
      <c r="J260" s="755">
        <f>SUMIF(G17:G237,"ES",J17:J237)</f>
        <v>0</v>
      </c>
      <c r="K260" s="474">
        <f>SUMIF(G17:G233,"ES",K17:K233)</f>
        <v>2382.8000000000002</v>
      </c>
      <c r="L260" s="463">
        <f>SUMIF(G17:G233,"ES",L17:L233)</f>
        <v>2382.8000000000002</v>
      </c>
      <c r="M260" s="755">
        <f>SUMIF(G17:G233,"ES",M17:M233)</f>
        <v>0</v>
      </c>
      <c r="N260" s="474">
        <f>SUMIF(G17:G236,"ES",N17:N237)</f>
        <v>4897.1000000000004</v>
      </c>
      <c r="O260" s="463">
        <f>SUMIF(G17:G236,"ES",O17:O236)</f>
        <v>4897.1000000000004</v>
      </c>
      <c r="P260" s="755">
        <f>SUMIF(G17:G233,"ES",P17:P233)</f>
        <v>0</v>
      </c>
    </row>
    <row r="261" spans="1:53" ht="15.75" customHeight="1" x14ac:dyDescent="0.2">
      <c r="A261" s="1607" t="s">
        <v>23</v>
      </c>
      <c r="B261" s="1608"/>
      <c r="C261" s="1608"/>
      <c r="D261" s="1608"/>
      <c r="E261" s="1608"/>
      <c r="F261" s="1608"/>
      <c r="G261" s="1609"/>
      <c r="H261" s="361">
        <f>SUMIF(G12:G239,"Kt",H12:H239)</f>
        <v>0</v>
      </c>
      <c r="I261" s="467">
        <f>SUMIF(G12:G239,"Kt",I12:I239)</f>
        <v>0</v>
      </c>
      <c r="J261" s="459">
        <f>SUMIF(G12:G239,"Kt",J12:J239)</f>
        <v>0</v>
      </c>
      <c r="K261" s="361">
        <f>SUMIF(G12:G239,"Kt",K12:K239)</f>
        <v>937.3</v>
      </c>
      <c r="L261" s="467">
        <f>SUMIF(G12:G239,"Kt",L12:L239)</f>
        <v>937.3</v>
      </c>
      <c r="M261" s="459">
        <f>SUMIF(G12:G239,"Kt",M12:M239)</f>
        <v>0</v>
      </c>
      <c r="N261" s="361">
        <f>SUMIF(G12:G239,"Kt",N12:N239)</f>
        <v>937.3</v>
      </c>
      <c r="O261" s="467">
        <f>SUMIF(G12:G239,"Kt",O12:O239)</f>
        <v>937.3</v>
      </c>
      <c r="P261" s="459">
        <f>SUMIF(G12:G239,"Kt",P12:P239)</f>
        <v>0</v>
      </c>
    </row>
    <row r="262" spans="1:53" s="8" customFormat="1" ht="15" customHeight="1" thickBot="1" x14ac:dyDescent="0.25">
      <c r="A262" s="1613" t="s">
        <v>16</v>
      </c>
      <c r="B262" s="1614"/>
      <c r="C262" s="1614"/>
      <c r="D262" s="1614"/>
      <c r="E262" s="1614"/>
      <c r="F262" s="1614"/>
      <c r="G262" s="1615"/>
      <c r="H262" s="456">
        <f t="shared" ref="H262:P262" si="47">SUM(H244,H257)</f>
        <v>14639.5</v>
      </c>
      <c r="I262" s="469">
        <f t="shared" si="47"/>
        <v>12709.7</v>
      </c>
      <c r="J262" s="461">
        <f t="shared" si="47"/>
        <v>-1929.8</v>
      </c>
      <c r="K262" s="456">
        <f t="shared" si="47"/>
        <v>21098.3</v>
      </c>
      <c r="L262" s="469">
        <f t="shared" si="47"/>
        <v>22919.7</v>
      </c>
      <c r="M262" s="461">
        <f t="shared" si="47"/>
        <v>1821.4</v>
      </c>
      <c r="N262" s="456">
        <f t="shared" si="47"/>
        <v>22636.1</v>
      </c>
      <c r="O262" s="469">
        <f t="shared" si="47"/>
        <v>22636.1</v>
      </c>
      <c r="P262" s="461">
        <f t="shared" si="47"/>
        <v>0</v>
      </c>
      <c r="Q262" s="5"/>
      <c r="R262" s="3"/>
      <c r="S262" s="3"/>
      <c r="T262" s="3"/>
      <c r="U262" s="3"/>
      <c r="V262" s="3"/>
      <c r="W262" s="3"/>
      <c r="X262" s="3"/>
      <c r="Y262" s="3"/>
      <c r="Z262" s="3"/>
      <c r="AA262" s="3"/>
      <c r="AB262" s="3"/>
      <c r="AC262" s="3"/>
      <c r="AD262" s="3"/>
      <c r="AE262" s="3"/>
      <c r="AF262" s="3"/>
      <c r="AG262" s="3"/>
      <c r="AH262" s="3"/>
      <c r="AI262" s="3"/>
      <c r="AJ262" s="3"/>
      <c r="AK262" s="3"/>
      <c r="AL262" s="3"/>
      <c r="AM262" s="3"/>
      <c r="AN262" s="3"/>
      <c r="AO262" s="3"/>
      <c r="AP262" s="3"/>
      <c r="AQ262" s="3"/>
      <c r="AR262" s="3"/>
      <c r="AS262" s="3"/>
      <c r="AT262" s="3"/>
      <c r="AU262" s="3"/>
      <c r="AV262" s="3"/>
      <c r="AW262" s="3"/>
      <c r="AX262" s="3"/>
      <c r="AY262" s="3"/>
      <c r="AZ262" s="3"/>
      <c r="BA262" s="3"/>
    </row>
    <row r="263" spans="1:53" s="8" customFormat="1" x14ac:dyDescent="0.2">
      <c r="A263" s="5"/>
      <c r="B263" s="5"/>
      <c r="C263" s="5"/>
      <c r="D263" s="5"/>
      <c r="E263" s="12"/>
      <c r="F263" s="684"/>
      <c r="G263" s="19"/>
      <c r="H263" s="9"/>
      <c r="I263" s="9"/>
      <c r="J263" s="9"/>
      <c r="K263" s="9"/>
      <c r="L263" s="9"/>
      <c r="M263" s="9"/>
      <c r="N263" s="9"/>
      <c r="O263" s="9"/>
      <c r="P263" s="9"/>
      <c r="Q263" s="9"/>
      <c r="V263" s="3"/>
      <c r="W263" s="3"/>
      <c r="X263" s="3"/>
      <c r="Y263" s="3"/>
      <c r="Z263" s="3"/>
      <c r="AA263" s="3"/>
      <c r="AB263" s="3"/>
      <c r="AC263" s="3"/>
      <c r="AD263" s="3"/>
      <c r="AE263" s="3"/>
      <c r="AF263" s="3"/>
      <c r="AG263" s="3"/>
      <c r="AH263" s="3"/>
      <c r="AI263" s="3"/>
      <c r="AJ263" s="3"/>
      <c r="AK263" s="3"/>
      <c r="AL263" s="3"/>
      <c r="AM263" s="3"/>
      <c r="AN263" s="3"/>
      <c r="AO263" s="3"/>
      <c r="AP263" s="3"/>
      <c r="AQ263" s="3"/>
      <c r="AR263" s="3"/>
      <c r="AS263" s="3"/>
      <c r="AT263" s="3"/>
      <c r="AU263" s="3"/>
      <c r="AV263" s="3"/>
      <c r="AW263" s="3"/>
      <c r="AX263" s="3"/>
      <c r="AY263" s="3"/>
      <c r="AZ263" s="3"/>
      <c r="BA263" s="3"/>
    </row>
    <row r="264" spans="1:53" s="8" customFormat="1" x14ac:dyDescent="0.2">
      <c r="A264" s="5"/>
      <c r="B264" s="5"/>
      <c r="C264" s="5"/>
      <c r="D264" s="5"/>
      <c r="E264" s="2045" t="s">
        <v>283</v>
      </c>
      <c r="F264" s="2045"/>
      <c r="G264" s="2045"/>
      <c r="H264" s="2045"/>
      <c r="I264" s="2045"/>
      <c r="J264" s="2045"/>
      <c r="K264" s="2045"/>
      <c r="L264" s="2045"/>
      <c r="M264" s="2045"/>
      <c r="N264" s="2045"/>
      <c r="O264" s="2045"/>
      <c r="P264" s="2045"/>
      <c r="Q264" s="57"/>
      <c r="V264" s="3"/>
      <c r="W264" s="3"/>
      <c r="X264" s="3"/>
      <c r="Y264" s="3"/>
      <c r="Z264" s="3"/>
      <c r="AA264" s="3"/>
      <c r="AB264" s="3"/>
      <c r="AC264" s="3"/>
      <c r="AD264" s="3"/>
      <c r="AE264" s="3"/>
      <c r="AF264" s="3"/>
      <c r="AG264" s="3"/>
      <c r="AH264" s="3"/>
      <c r="AI264" s="3"/>
      <c r="AJ264" s="3"/>
      <c r="AK264" s="3"/>
      <c r="AL264" s="3"/>
      <c r="AM264" s="3"/>
      <c r="AN264" s="3"/>
      <c r="AO264" s="3"/>
      <c r="AP264" s="3"/>
      <c r="AQ264" s="3"/>
      <c r="AR264" s="3"/>
      <c r="AS264" s="3"/>
      <c r="AT264" s="3"/>
      <c r="AU264" s="3"/>
      <c r="AV264" s="3"/>
      <c r="AW264" s="3"/>
      <c r="AX264" s="3"/>
      <c r="AY264" s="3"/>
      <c r="AZ264" s="3"/>
      <c r="BA264" s="3"/>
    </row>
    <row r="265" spans="1:53" s="8" customFormat="1" x14ac:dyDescent="0.2">
      <c r="A265" s="5"/>
      <c r="B265" s="5"/>
      <c r="C265" s="5"/>
      <c r="D265" s="5"/>
      <c r="E265" s="12"/>
      <c r="F265" s="684"/>
      <c r="G265" s="19"/>
      <c r="H265" s="543"/>
      <c r="I265" s="543"/>
      <c r="J265" s="543"/>
      <c r="K265" s="543"/>
      <c r="L265" s="543"/>
      <c r="M265" s="543"/>
      <c r="N265" s="543"/>
      <c r="O265" s="543"/>
      <c r="P265" s="543"/>
      <c r="Q265" s="9"/>
      <c r="R265" s="9"/>
      <c r="S265" s="9"/>
      <c r="T265" s="9"/>
      <c r="U265" s="9"/>
      <c r="V265" s="3"/>
      <c r="W265" s="3"/>
      <c r="X265" s="3"/>
      <c r="Y265" s="3"/>
      <c r="Z265" s="3"/>
      <c r="AA265" s="3"/>
      <c r="AB265" s="3"/>
      <c r="AC265" s="3"/>
      <c r="AD265" s="3"/>
      <c r="AE265" s="3"/>
      <c r="AF265" s="3"/>
      <c r="AG265" s="3"/>
      <c r="AH265" s="3"/>
      <c r="AI265" s="3"/>
      <c r="AJ265" s="3"/>
      <c r="AK265" s="3"/>
      <c r="AL265" s="3"/>
      <c r="AM265" s="3"/>
      <c r="AN265" s="3"/>
      <c r="AO265" s="3"/>
      <c r="AP265" s="3"/>
      <c r="AQ265" s="3"/>
      <c r="AR265" s="3"/>
      <c r="AS265" s="3"/>
      <c r="AT265" s="3"/>
      <c r="AU265" s="3"/>
      <c r="AV265" s="3"/>
      <c r="AW265" s="3"/>
      <c r="AX265" s="3"/>
      <c r="AY265" s="3"/>
      <c r="AZ265" s="3"/>
      <c r="BA265" s="3"/>
    </row>
    <row r="266" spans="1:53" s="8" customFormat="1" x14ac:dyDescent="0.2">
      <c r="A266" s="5"/>
      <c r="B266" s="5"/>
      <c r="C266" s="5"/>
      <c r="D266" s="5"/>
      <c r="E266" s="12"/>
      <c r="F266" s="684"/>
      <c r="G266" s="19"/>
      <c r="H266" s="14"/>
      <c r="I266" s="14"/>
      <c r="J266" s="14"/>
      <c r="K266" s="14"/>
      <c r="L266" s="14"/>
      <c r="M266" s="14"/>
      <c r="N266" s="14"/>
      <c r="O266" s="14"/>
      <c r="P266" s="14"/>
      <c r="Q266" s="5"/>
      <c r="R266" s="5"/>
      <c r="S266" s="5"/>
      <c r="T266" s="5"/>
      <c r="U266" s="5"/>
      <c r="V266" s="3"/>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c r="AW266" s="3"/>
      <c r="AX266" s="3"/>
      <c r="AY266" s="3"/>
      <c r="AZ266" s="3"/>
      <c r="BA266" s="3"/>
    </row>
    <row r="267" spans="1:53" s="8" customFormat="1" x14ac:dyDescent="0.2">
      <c r="A267" s="5"/>
      <c r="B267" s="5"/>
      <c r="C267" s="5"/>
      <c r="D267" s="5"/>
      <c r="E267" s="12"/>
      <c r="F267" s="684"/>
      <c r="G267" s="19"/>
      <c r="H267" s="14"/>
      <c r="I267" s="14"/>
      <c r="J267" s="14"/>
      <c r="K267" s="5"/>
      <c r="L267" s="5"/>
      <c r="M267" s="5"/>
      <c r="N267" s="5"/>
      <c r="O267" s="5"/>
      <c r="P267" s="5"/>
      <c r="Q267" s="5"/>
      <c r="R267" s="5"/>
      <c r="S267" s="5"/>
      <c r="T267" s="5"/>
      <c r="U267" s="5"/>
      <c r="V267" s="3"/>
      <c r="W267" s="3"/>
      <c r="X267" s="3"/>
      <c r="Y267" s="3"/>
      <c r="Z267" s="3"/>
      <c r="AA267" s="3"/>
      <c r="AB267" s="3"/>
      <c r="AC267" s="3"/>
      <c r="AD267" s="3"/>
      <c r="AE267" s="3"/>
      <c r="AF267" s="3"/>
      <c r="AG267" s="3"/>
      <c r="AH267" s="3"/>
      <c r="AI267" s="3"/>
      <c r="AJ267" s="3"/>
      <c r="AK267" s="3"/>
      <c r="AL267" s="3"/>
      <c r="AM267" s="3"/>
      <c r="AN267" s="3"/>
      <c r="AO267" s="3"/>
      <c r="AP267" s="3"/>
      <c r="AQ267" s="3"/>
      <c r="AR267" s="3"/>
      <c r="AS267" s="3"/>
      <c r="AT267" s="3"/>
      <c r="AU267" s="3"/>
      <c r="AV267" s="3"/>
      <c r="AW267" s="3"/>
      <c r="AX267" s="3"/>
      <c r="AY267" s="3"/>
      <c r="AZ267" s="3"/>
      <c r="BA267" s="3"/>
    </row>
    <row r="268" spans="1:53" s="8" customFormat="1" x14ac:dyDescent="0.2">
      <c r="A268" s="5"/>
      <c r="B268" s="5"/>
      <c r="C268" s="5"/>
      <c r="D268" s="5"/>
      <c r="E268" s="12"/>
      <c r="F268" s="684"/>
      <c r="G268" s="19"/>
      <c r="H268" s="43"/>
      <c r="I268" s="43"/>
      <c r="J268" s="43"/>
      <c r="K268" s="43"/>
      <c r="L268" s="43"/>
      <c r="M268" s="43"/>
      <c r="N268" s="43"/>
      <c r="O268" s="43"/>
      <c r="P268" s="43"/>
      <c r="Q268" s="5"/>
      <c r="R268" s="5"/>
      <c r="S268" s="5"/>
      <c r="T268" s="5"/>
      <c r="U268" s="5"/>
      <c r="V268" s="3"/>
      <c r="W268" s="3"/>
      <c r="X268" s="3"/>
      <c r="Y268" s="3"/>
      <c r="Z268" s="3"/>
      <c r="AA268" s="3"/>
      <c r="AB268" s="3"/>
      <c r="AC268" s="3"/>
      <c r="AD268" s="3"/>
      <c r="AE268" s="3"/>
      <c r="AF268" s="3"/>
      <c r="AG268" s="3"/>
      <c r="AH268" s="3"/>
      <c r="AI268" s="3"/>
      <c r="AJ268" s="3"/>
      <c r="AK268" s="3"/>
      <c r="AL268" s="3"/>
      <c r="AM268" s="3"/>
      <c r="AN268" s="3"/>
      <c r="AO268" s="3"/>
      <c r="AP268" s="3"/>
      <c r="AQ268" s="3"/>
      <c r="AR268" s="3"/>
      <c r="AS268" s="3"/>
      <c r="AT268" s="3"/>
      <c r="AU268" s="3"/>
      <c r="AV268" s="3"/>
      <c r="AW268" s="3"/>
      <c r="AX268" s="3"/>
      <c r="AY268" s="3"/>
      <c r="AZ268" s="3"/>
      <c r="BA268" s="3"/>
    </row>
  </sheetData>
  <mergeCells count="232">
    <mergeCell ref="U228:U230"/>
    <mergeCell ref="U28:U35"/>
    <mergeCell ref="D234:D236"/>
    <mergeCell ref="C237:G237"/>
    <mergeCell ref="U157:U159"/>
    <mergeCell ref="U163:U165"/>
    <mergeCell ref="U77:U81"/>
    <mergeCell ref="U114:U118"/>
    <mergeCell ref="C194:G194"/>
    <mergeCell ref="C195:S195"/>
    <mergeCell ref="D196:D197"/>
    <mergeCell ref="D198:D199"/>
    <mergeCell ref="D201:D202"/>
    <mergeCell ref="Q201:Q202"/>
    <mergeCell ref="C176:G176"/>
    <mergeCell ref="C177:U177"/>
    <mergeCell ref="D178:D179"/>
    <mergeCell ref="D180:D182"/>
    <mergeCell ref="D183:D187"/>
    <mergeCell ref="Q183:Q184"/>
    <mergeCell ref="Q164:Q165"/>
    <mergeCell ref="D209:D213"/>
    <mergeCell ref="C226:G226"/>
    <mergeCell ref="C227:J227"/>
    <mergeCell ref="A228:A229"/>
    <mergeCell ref="B228:B229"/>
    <mergeCell ref="C228:C229"/>
    <mergeCell ref="D228:D229"/>
    <mergeCell ref="E228:E229"/>
    <mergeCell ref="D231:D233"/>
    <mergeCell ref="A204:A205"/>
    <mergeCell ref="B204:B205"/>
    <mergeCell ref="C204:C205"/>
    <mergeCell ref="D204:D205"/>
    <mergeCell ref="E204:E205"/>
    <mergeCell ref="A206:A208"/>
    <mergeCell ref="B206:B208"/>
    <mergeCell ref="C206:C208"/>
    <mergeCell ref="D206:D208"/>
    <mergeCell ref="E206:E208"/>
    <mergeCell ref="A253:G253"/>
    <mergeCell ref="A242:G242"/>
    <mergeCell ref="A243:G243"/>
    <mergeCell ref="A244:G244"/>
    <mergeCell ref="A245:G245"/>
    <mergeCell ref="A246:G246"/>
    <mergeCell ref="A247:G247"/>
    <mergeCell ref="B238:G238"/>
    <mergeCell ref="Q238:U238"/>
    <mergeCell ref="B239:G239"/>
    <mergeCell ref="Q239:U239"/>
    <mergeCell ref="A252:G252"/>
    <mergeCell ref="A250:G250"/>
    <mergeCell ref="A251:G251"/>
    <mergeCell ref="A248:G248"/>
    <mergeCell ref="A249:G249"/>
    <mergeCell ref="A261:G261"/>
    <mergeCell ref="A262:G262"/>
    <mergeCell ref="E264:P264"/>
    <mergeCell ref="A254:G254"/>
    <mergeCell ref="A255:G255"/>
    <mergeCell ref="A256:G256"/>
    <mergeCell ref="A257:G257"/>
    <mergeCell ref="A258:G258"/>
    <mergeCell ref="A259:G259"/>
    <mergeCell ref="A260:G260"/>
    <mergeCell ref="Q141:Q146"/>
    <mergeCell ref="D148:D150"/>
    <mergeCell ref="E148:E150"/>
    <mergeCell ref="F148:F150"/>
    <mergeCell ref="Q149:Q150"/>
    <mergeCell ref="E166:E169"/>
    <mergeCell ref="D169:D170"/>
    <mergeCell ref="Q169:Q170"/>
    <mergeCell ref="D173:D174"/>
    <mergeCell ref="E173:E174"/>
    <mergeCell ref="F173:F174"/>
    <mergeCell ref="D157:D159"/>
    <mergeCell ref="E157:E159"/>
    <mergeCell ref="Q158:Q159"/>
    <mergeCell ref="F159:F161"/>
    <mergeCell ref="D160:D162"/>
    <mergeCell ref="E160:E162"/>
    <mergeCell ref="Q161:Q162"/>
    <mergeCell ref="F162:F164"/>
    <mergeCell ref="D163:D165"/>
    <mergeCell ref="E163:E165"/>
    <mergeCell ref="D166:D167"/>
    <mergeCell ref="D151:D153"/>
    <mergeCell ref="E151:E153"/>
    <mergeCell ref="A138:A140"/>
    <mergeCell ref="B138:B140"/>
    <mergeCell ref="C138:C140"/>
    <mergeCell ref="D138:D140"/>
    <mergeCell ref="E138:E140"/>
    <mergeCell ref="F138:F140"/>
    <mergeCell ref="D118:D121"/>
    <mergeCell ref="D122:D123"/>
    <mergeCell ref="C124:C127"/>
    <mergeCell ref="C128:C131"/>
    <mergeCell ref="A135:A137"/>
    <mergeCell ref="B135:B137"/>
    <mergeCell ref="C135:C137"/>
    <mergeCell ref="D135:D137"/>
    <mergeCell ref="A114:A115"/>
    <mergeCell ref="B114:B115"/>
    <mergeCell ref="C114:C115"/>
    <mergeCell ref="D114:D115"/>
    <mergeCell ref="E114:E115"/>
    <mergeCell ref="F114:F115"/>
    <mergeCell ref="Q114:Q115"/>
    <mergeCell ref="S114:S115"/>
    <mergeCell ref="A116:A117"/>
    <mergeCell ref="B116:B117"/>
    <mergeCell ref="C116:C117"/>
    <mergeCell ref="D116:D117"/>
    <mergeCell ref="E116:E117"/>
    <mergeCell ref="F116:F117"/>
    <mergeCell ref="A67:A68"/>
    <mergeCell ref="B67:B68"/>
    <mergeCell ref="C67:C68"/>
    <mergeCell ref="D67:D68"/>
    <mergeCell ref="D71:D72"/>
    <mergeCell ref="D77:D80"/>
    <mergeCell ref="D101:D102"/>
    <mergeCell ref="D105:D107"/>
    <mergeCell ref="A108:A110"/>
    <mergeCell ref="B108:B110"/>
    <mergeCell ref="C108:C110"/>
    <mergeCell ref="D108:D110"/>
    <mergeCell ref="D81:D82"/>
    <mergeCell ref="D94:D95"/>
    <mergeCell ref="Q58:Q59"/>
    <mergeCell ref="D61:D63"/>
    <mergeCell ref="A65:A66"/>
    <mergeCell ref="B65:B66"/>
    <mergeCell ref="C65:C66"/>
    <mergeCell ref="D65:D66"/>
    <mergeCell ref="E65:E66"/>
    <mergeCell ref="F65:F66"/>
    <mergeCell ref="D54:D55"/>
    <mergeCell ref="E54:E55"/>
    <mergeCell ref="F54:F55"/>
    <mergeCell ref="D56:D57"/>
    <mergeCell ref="E56:E57"/>
    <mergeCell ref="D58:D59"/>
    <mergeCell ref="E58:E59"/>
    <mergeCell ref="D48:D49"/>
    <mergeCell ref="E48:E49"/>
    <mergeCell ref="F48:F49"/>
    <mergeCell ref="D50:D51"/>
    <mergeCell ref="E50:E53"/>
    <mergeCell ref="Q50:Q51"/>
    <mergeCell ref="D52:D53"/>
    <mergeCell ref="F52:F53"/>
    <mergeCell ref="Q23:Q24"/>
    <mergeCell ref="D25:D28"/>
    <mergeCell ref="E25:E43"/>
    <mergeCell ref="D44:D45"/>
    <mergeCell ref="E44:E47"/>
    <mergeCell ref="D46:D47"/>
    <mergeCell ref="F46:F47"/>
    <mergeCell ref="A19:A24"/>
    <mergeCell ref="B19:B24"/>
    <mergeCell ref="C19:C24"/>
    <mergeCell ref="D19:D24"/>
    <mergeCell ref="E19:E24"/>
    <mergeCell ref="F19:F24"/>
    <mergeCell ref="A11:U11"/>
    <mergeCell ref="A12:U12"/>
    <mergeCell ref="B13:U13"/>
    <mergeCell ref="C14:U14"/>
    <mergeCell ref="D15:D16"/>
    <mergeCell ref="D17:D18"/>
    <mergeCell ref="A4:S4"/>
    <mergeCell ref="A5:S5"/>
    <mergeCell ref="A6:S6"/>
    <mergeCell ref="P7:S7"/>
    <mergeCell ref="G8:G10"/>
    <mergeCell ref="J8:J10"/>
    <mergeCell ref="M8:M10"/>
    <mergeCell ref="P8:P10"/>
    <mergeCell ref="Q9:Q10"/>
    <mergeCell ref="Q8:T8"/>
    <mergeCell ref="A8:A10"/>
    <mergeCell ref="B8:B10"/>
    <mergeCell ref="C8:C10"/>
    <mergeCell ref="D8:D10"/>
    <mergeCell ref="E8:E10"/>
    <mergeCell ref="F8:F10"/>
    <mergeCell ref="R9:T9"/>
    <mergeCell ref="I8:I10"/>
    <mergeCell ref="H8:H10"/>
    <mergeCell ref="K8:K10"/>
    <mergeCell ref="L8:L10"/>
    <mergeCell ref="N8:N10"/>
    <mergeCell ref="O8:O10"/>
    <mergeCell ref="F151:F153"/>
    <mergeCell ref="Q152:Q153"/>
    <mergeCell ref="D154:D156"/>
    <mergeCell ref="E154:E156"/>
    <mergeCell ref="F154:F156"/>
    <mergeCell ref="Q138:Q139"/>
    <mergeCell ref="D141:D146"/>
    <mergeCell ref="U46:U47"/>
    <mergeCell ref="U48:U49"/>
    <mergeCell ref="U74:U75"/>
    <mergeCell ref="U65:U66"/>
    <mergeCell ref="U151:U153"/>
    <mergeCell ref="Q94:Q95"/>
    <mergeCell ref="D96:D99"/>
    <mergeCell ref="E96:E100"/>
    <mergeCell ref="Q99:Q100"/>
    <mergeCell ref="E81:E82"/>
    <mergeCell ref="E108:E110"/>
    <mergeCell ref="T114:T115"/>
    <mergeCell ref="U135:U137"/>
    <mergeCell ref="F108:F110"/>
    <mergeCell ref="D111:D112"/>
    <mergeCell ref="E135:E137"/>
    <mergeCell ref="F135:F137"/>
    <mergeCell ref="U166:U168"/>
    <mergeCell ref="U209:U215"/>
    <mergeCell ref="U148:U150"/>
    <mergeCell ref="U154:U156"/>
    <mergeCell ref="U160:U162"/>
    <mergeCell ref="U50:U51"/>
    <mergeCell ref="U91:U92"/>
    <mergeCell ref="U88:U90"/>
    <mergeCell ref="U122:U127"/>
    <mergeCell ref="U128:U130"/>
    <mergeCell ref="U198:U204"/>
  </mergeCells>
  <printOptions horizontalCentered="1"/>
  <pageMargins left="0.19685039370078741" right="0.19685039370078741" top="0.59055118110236227" bottom="0.19685039370078741" header="0" footer="0"/>
  <pageSetup paperSize="9" scale="64" orientation="landscape" r:id="rId1"/>
  <rowBreaks count="3" manualBreakCount="3">
    <brk id="45" max="20" man="1"/>
    <brk id="137" max="20" man="1"/>
    <brk id="227"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7 programa</vt:lpstr>
      <vt:lpstr>aiškinamoji lentelė</vt:lpstr>
      <vt:lpstr>Lyginamasis variantas</vt:lpstr>
      <vt:lpstr>'7 programa'!Print_Area</vt:lpstr>
      <vt:lpstr>'aiškinamoji lentelė'!Print_Area</vt:lpstr>
      <vt:lpstr>'Lyginamasis variantas'!Print_Area</vt:lpstr>
      <vt:lpstr>'7 programa'!Print_Titles</vt:lpstr>
      <vt:lpstr>'aiškinamoji lentelė'!Print_Titles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2020-01-31T08:44:53Z</cp:lastPrinted>
  <dcterms:created xsi:type="dcterms:W3CDTF">2007-07-27T10:32:34Z</dcterms:created>
  <dcterms:modified xsi:type="dcterms:W3CDTF">2020-02-04T13:32:37Z</dcterms:modified>
</cp:coreProperties>
</file>