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.Palaimiene\Desktop\T2-216\"/>
    </mc:Choice>
  </mc:AlternateContent>
  <bookViews>
    <workbookView xWindow="480" yWindow="1515" windowWidth="19425" windowHeight="10320" activeTab="4"/>
  </bookViews>
  <sheets>
    <sheet name="1pr. pajamos" sheetId="11" r:id="rId1"/>
    <sheet name="1 pr. asignavimai" sheetId="3" r:id="rId2"/>
    <sheet name="2 pr." sheetId="5" r:id="rId3"/>
    <sheet name="3 pr." sheetId="4" r:id="rId4"/>
    <sheet name="4 pr." sheetId="14" r:id="rId5"/>
  </sheets>
  <definedNames>
    <definedName name="_xlnm._FilterDatabase" localSheetId="1" hidden="1">'1 pr. asignavimai'!$B$1:$B$173</definedName>
    <definedName name="_xlnm._FilterDatabase" localSheetId="2" hidden="1">'2 pr.'!$C$1:$C$59</definedName>
    <definedName name="_xlnm.Print_Titles" localSheetId="1">'1 pr. asignavimai'!$3:$7</definedName>
    <definedName name="_xlnm.Print_Titles" localSheetId="0">'1pr. pajamos'!$8:$9</definedName>
    <definedName name="_xlnm.Print_Titles" localSheetId="2">'2 pr.'!$9:$13</definedName>
    <definedName name="_xlnm.Print_Titles" localSheetId="4">'4 pr.'!$7:$10</definedName>
  </definedNames>
  <calcPr calcId="152511" fullPrecision="0"/>
</workbook>
</file>

<file path=xl/calcChain.xml><?xml version="1.0" encoding="utf-8"?>
<calcChain xmlns="http://schemas.openxmlformats.org/spreadsheetml/2006/main">
  <c r="N129" i="14" l="1"/>
  <c r="K129" i="14"/>
  <c r="H129" i="14"/>
  <c r="D129" i="14"/>
  <c r="C129" i="14"/>
  <c r="N128" i="14"/>
  <c r="K128" i="14"/>
  <c r="H128" i="14"/>
  <c r="D128" i="14"/>
  <c r="E128" i="14" s="1"/>
  <c r="C128" i="14"/>
  <c r="N127" i="14"/>
  <c r="K127" i="14"/>
  <c r="H127" i="14"/>
  <c r="D127" i="14"/>
  <c r="C127" i="14"/>
  <c r="H126" i="14"/>
  <c r="D126" i="14"/>
  <c r="C126" i="14"/>
  <c r="N125" i="14"/>
  <c r="K125" i="14"/>
  <c r="H125" i="14"/>
  <c r="D125" i="14"/>
  <c r="C125" i="14"/>
  <c r="N124" i="14"/>
  <c r="K124" i="14"/>
  <c r="H124" i="14"/>
  <c r="D124" i="14"/>
  <c r="C124" i="14"/>
  <c r="N123" i="14"/>
  <c r="K123" i="14"/>
  <c r="H123" i="14"/>
  <c r="D123" i="14"/>
  <c r="E123" i="14" s="1"/>
  <c r="C123" i="14"/>
  <c r="N122" i="14"/>
  <c r="K122" i="14"/>
  <c r="G122" i="14"/>
  <c r="H122" i="14" s="1"/>
  <c r="C122" i="14"/>
  <c r="N121" i="14"/>
  <c r="K121" i="14"/>
  <c r="H121" i="14"/>
  <c r="D121" i="14"/>
  <c r="C121" i="14"/>
  <c r="N120" i="14"/>
  <c r="K120" i="14"/>
  <c r="H120" i="14"/>
  <c r="D120" i="14"/>
  <c r="C120" i="14"/>
  <c r="M119" i="14"/>
  <c r="L119" i="14"/>
  <c r="J119" i="14"/>
  <c r="I119" i="14"/>
  <c r="F119" i="14"/>
  <c r="N118" i="14"/>
  <c r="K118" i="14"/>
  <c r="H118" i="14"/>
  <c r="D118" i="14"/>
  <c r="C118" i="14"/>
  <c r="N117" i="14"/>
  <c r="J117" i="14"/>
  <c r="K117" i="14" s="1"/>
  <c r="H117" i="14"/>
  <c r="C117" i="14"/>
  <c r="N116" i="14"/>
  <c r="K116" i="14"/>
  <c r="H116" i="14"/>
  <c r="D116" i="14"/>
  <c r="C116" i="14"/>
  <c r="N115" i="14"/>
  <c r="K115" i="14"/>
  <c r="H115" i="14"/>
  <c r="D115" i="14"/>
  <c r="C115" i="14"/>
  <c r="N114" i="14"/>
  <c r="K114" i="14"/>
  <c r="H114" i="14"/>
  <c r="D114" i="14"/>
  <c r="C114" i="14"/>
  <c r="N113" i="14"/>
  <c r="K113" i="14"/>
  <c r="H113" i="14"/>
  <c r="D113" i="14"/>
  <c r="C113" i="14"/>
  <c r="N112" i="14"/>
  <c r="K112" i="14"/>
  <c r="H112" i="14"/>
  <c r="D112" i="14"/>
  <c r="C112" i="14"/>
  <c r="N111" i="14"/>
  <c r="K111" i="14"/>
  <c r="H111" i="14"/>
  <c r="D111" i="14"/>
  <c r="C111" i="14"/>
  <c r="N110" i="14"/>
  <c r="K110" i="14"/>
  <c r="H110" i="14"/>
  <c r="D110" i="14"/>
  <c r="C110" i="14"/>
  <c r="N109" i="14"/>
  <c r="K109" i="14"/>
  <c r="H109" i="14"/>
  <c r="D109" i="14"/>
  <c r="C109" i="14"/>
  <c r="N108" i="14"/>
  <c r="K108" i="14"/>
  <c r="H108" i="14"/>
  <c r="D108" i="14"/>
  <c r="C108" i="14"/>
  <c r="N107" i="14"/>
  <c r="K107" i="14"/>
  <c r="H107" i="14"/>
  <c r="D107" i="14"/>
  <c r="C107" i="14"/>
  <c r="N106" i="14"/>
  <c r="K106" i="14"/>
  <c r="H106" i="14"/>
  <c r="D106" i="14"/>
  <c r="C106" i="14"/>
  <c r="N105" i="14"/>
  <c r="K105" i="14"/>
  <c r="H105" i="14"/>
  <c r="D105" i="14"/>
  <c r="C105" i="14"/>
  <c r="N104" i="14"/>
  <c r="K104" i="14"/>
  <c r="H104" i="14"/>
  <c r="D104" i="14"/>
  <c r="C104" i="14"/>
  <c r="N103" i="14"/>
  <c r="K103" i="14"/>
  <c r="H103" i="14"/>
  <c r="D103" i="14"/>
  <c r="C103" i="14"/>
  <c r="N102" i="14"/>
  <c r="K102" i="14"/>
  <c r="H102" i="14"/>
  <c r="D102" i="14"/>
  <c r="C102" i="14"/>
  <c r="N101" i="14"/>
  <c r="K101" i="14"/>
  <c r="H101" i="14"/>
  <c r="D101" i="14"/>
  <c r="C101" i="14"/>
  <c r="N100" i="14"/>
  <c r="K100" i="14"/>
  <c r="H100" i="14"/>
  <c r="D100" i="14"/>
  <c r="C100" i="14"/>
  <c r="N99" i="14"/>
  <c r="K99" i="14"/>
  <c r="H99" i="14"/>
  <c r="D99" i="14"/>
  <c r="C99" i="14"/>
  <c r="N98" i="14"/>
  <c r="K98" i="14"/>
  <c r="H98" i="14"/>
  <c r="D98" i="14"/>
  <c r="C98" i="14"/>
  <c r="N97" i="14"/>
  <c r="K97" i="14"/>
  <c r="H97" i="14"/>
  <c r="D97" i="14"/>
  <c r="E97" i="14" s="1"/>
  <c r="C97" i="14"/>
  <c r="N96" i="14"/>
  <c r="K96" i="14"/>
  <c r="H96" i="14"/>
  <c r="D96" i="14"/>
  <c r="C96" i="14"/>
  <c r="N95" i="14"/>
  <c r="K95" i="14"/>
  <c r="H95" i="14"/>
  <c r="D95" i="14"/>
  <c r="C95" i="14"/>
  <c r="N94" i="14"/>
  <c r="K94" i="14"/>
  <c r="H94" i="14"/>
  <c r="D94" i="14"/>
  <c r="C94" i="14"/>
  <c r="N93" i="14"/>
  <c r="K93" i="14"/>
  <c r="H93" i="14"/>
  <c r="D93" i="14"/>
  <c r="E93" i="14" s="1"/>
  <c r="C93" i="14"/>
  <c r="N92" i="14"/>
  <c r="K92" i="14"/>
  <c r="H92" i="14"/>
  <c r="D92" i="14"/>
  <c r="C92" i="14"/>
  <c r="N91" i="14"/>
  <c r="K91" i="14"/>
  <c r="H91" i="14"/>
  <c r="D91" i="14"/>
  <c r="C91" i="14"/>
  <c r="N90" i="14"/>
  <c r="K90" i="14"/>
  <c r="H90" i="14"/>
  <c r="D90" i="14"/>
  <c r="C90" i="14"/>
  <c r="N89" i="14"/>
  <c r="K89" i="14"/>
  <c r="H89" i="14"/>
  <c r="D89" i="14"/>
  <c r="E89" i="14" s="1"/>
  <c r="C89" i="14"/>
  <c r="N88" i="14"/>
  <c r="K88" i="14"/>
  <c r="H88" i="14"/>
  <c r="D88" i="14"/>
  <c r="C88" i="14"/>
  <c r="N87" i="14"/>
  <c r="K87" i="14"/>
  <c r="H87" i="14"/>
  <c r="D87" i="14"/>
  <c r="C87" i="14"/>
  <c r="N86" i="14"/>
  <c r="K86" i="14"/>
  <c r="H86" i="14"/>
  <c r="D86" i="14"/>
  <c r="C86" i="14"/>
  <c r="N85" i="14"/>
  <c r="K85" i="14"/>
  <c r="H85" i="14"/>
  <c r="D85" i="14"/>
  <c r="E85" i="14" s="1"/>
  <c r="C85" i="14"/>
  <c r="N84" i="14"/>
  <c r="K84" i="14"/>
  <c r="H84" i="14"/>
  <c r="D84" i="14"/>
  <c r="C84" i="14"/>
  <c r="N83" i="14"/>
  <c r="K83" i="14"/>
  <c r="H83" i="14"/>
  <c r="D83" i="14"/>
  <c r="C83" i="14"/>
  <c r="N82" i="14"/>
  <c r="K82" i="14"/>
  <c r="H82" i="14"/>
  <c r="D82" i="14"/>
  <c r="C82" i="14"/>
  <c r="N81" i="14"/>
  <c r="K81" i="14"/>
  <c r="H81" i="14"/>
  <c r="D81" i="14"/>
  <c r="E81" i="14" s="1"/>
  <c r="C81" i="14"/>
  <c r="N80" i="14"/>
  <c r="K80" i="14"/>
  <c r="H80" i="14"/>
  <c r="D80" i="14"/>
  <c r="C80" i="14"/>
  <c r="N79" i="14"/>
  <c r="K79" i="14"/>
  <c r="H79" i="14"/>
  <c r="D79" i="14"/>
  <c r="C79" i="14"/>
  <c r="N78" i="14"/>
  <c r="K78" i="14"/>
  <c r="H78" i="14"/>
  <c r="D78" i="14"/>
  <c r="C78" i="14"/>
  <c r="N77" i="14"/>
  <c r="K77" i="14"/>
  <c r="H77" i="14"/>
  <c r="D77" i="14"/>
  <c r="E77" i="14" s="1"/>
  <c r="C77" i="14"/>
  <c r="N76" i="14"/>
  <c r="K76" i="14"/>
  <c r="H76" i="14"/>
  <c r="D76" i="14"/>
  <c r="C76" i="14"/>
  <c r="N75" i="14"/>
  <c r="K75" i="14"/>
  <c r="H75" i="14"/>
  <c r="D75" i="14"/>
  <c r="C75" i="14"/>
  <c r="N74" i="14"/>
  <c r="K74" i="14"/>
  <c r="H74" i="14"/>
  <c r="D74" i="14"/>
  <c r="C74" i="14"/>
  <c r="N73" i="14"/>
  <c r="K73" i="14"/>
  <c r="H73" i="14"/>
  <c r="D73" i="14"/>
  <c r="E73" i="14" s="1"/>
  <c r="C73" i="14"/>
  <c r="N72" i="14"/>
  <c r="K72" i="14"/>
  <c r="H72" i="14"/>
  <c r="D72" i="14"/>
  <c r="C72" i="14"/>
  <c r="N71" i="14"/>
  <c r="K71" i="14"/>
  <c r="H71" i="14"/>
  <c r="D71" i="14"/>
  <c r="C71" i="14"/>
  <c r="N70" i="14"/>
  <c r="K70" i="14"/>
  <c r="H70" i="14"/>
  <c r="D70" i="14"/>
  <c r="C70" i="14"/>
  <c r="N69" i="14"/>
  <c r="K69" i="14"/>
  <c r="H69" i="14"/>
  <c r="D69" i="14"/>
  <c r="E69" i="14" s="1"/>
  <c r="C69" i="14"/>
  <c r="N68" i="14"/>
  <c r="K68" i="14"/>
  <c r="H68" i="14"/>
  <c r="D68" i="14"/>
  <c r="C68" i="14"/>
  <c r="N67" i="14"/>
  <c r="K67" i="14"/>
  <c r="H67" i="14"/>
  <c r="D67" i="14"/>
  <c r="C67" i="14"/>
  <c r="N66" i="14"/>
  <c r="K66" i="14"/>
  <c r="H66" i="14"/>
  <c r="D66" i="14"/>
  <c r="C66" i="14"/>
  <c r="N65" i="14"/>
  <c r="K65" i="14"/>
  <c r="H65" i="14"/>
  <c r="D65" i="14"/>
  <c r="C65" i="14"/>
  <c r="N64" i="14"/>
  <c r="K64" i="14"/>
  <c r="H64" i="14"/>
  <c r="D64" i="14"/>
  <c r="C64" i="14"/>
  <c r="N63" i="14"/>
  <c r="K63" i="14"/>
  <c r="H63" i="14"/>
  <c r="D63" i="14"/>
  <c r="C63" i="14"/>
  <c r="N62" i="14"/>
  <c r="K62" i="14"/>
  <c r="G62" i="14"/>
  <c r="D62" i="14" s="1"/>
  <c r="C62" i="14"/>
  <c r="N61" i="14"/>
  <c r="K61" i="14"/>
  <c r="H61" i="14"/>
  <c r="D61" i="14"/>
  <c r="C61" i="14"/>
  <c r="N60" i="14"/>
  <c r="K60" i="14"/>
  <c r="H60" i="14"/>
  <c r="D60" i="14"/>
  <c r="C60" i="14"/>
  <c r="N59" i="14"/>
  <c r="K59" i="14"/>
  <c r="H59" i="14"/>
  <c r="D59" i="14"/>
  <c r="C59" i="14"/>
  <c r="N58" i="14"/>
  <c r="K58" i="14"/>
  <c r="H58" i="14"/>
  <c r="D58" i="14"/>
  <c r="C58" i="14"/>
  <c r="N57" i="14"/>
  <c r="K57" i="14"/>
  <c r="H57" i="14"/>
  <c r="D57" i="14"/>
  <c r="C57" i="14"/>
  <c r="N56" i="14"/>
  <c r="K56" i="14"/>
  <c r="H56" i="14"/>
  <c r="D56" i="14"/>
  <c r="C56" i="14"/>
  <c r="N55" i="14"/>
  <c r="K55" i="14"/>
  <c r="H55" i="14"/>
  <c r="D55" i="14"/>
  <c r="C55" i="14"/>
  <c r="N54" i="14"/>
  <c r="K54" i="14"/>
  <c r="H54" i="14"/>
  <c r="D54" i="14"/>
  <c r="C54" i="14"/>
  <c r="N53" i="14"/>
  <c r="K53" i="14"/>
  <c r="H53" i="14"/>
  <c r="D53" i="14"/>
  <c r="C53" i="14"/>
  <c r="N52" i="14"/>
  <c r="K52" i="14"/>
  <c r="H52" i="14"/>
  <c r="D52" i="14"/>
  <c r="C52" i="14"/>
  <c r="N51" i="14"/>
  <c r="K51" i="14"/>
  <c r="H51" i="14"/>
  <c r="D51" i="14"/>
  <c r="C51" i="14"/>
  <c r="N50" i="14"/>
  <c r="J50" i="14"/>
  <c r="K50" i="14" s="1"/>
  <c r="H50" i="14"/>
  <c r="C50" i="14"/>
  <c r="N49" i="14"/>
  <c r="K49" i="14"/>
  <c r="H49" i="14"/>
  <c r="D49" i="14"/>
  <c r="C49" i="14"/>
  <c r="N48" i="14"/>
  <c r="K48" i="14"/>
  <c r="H48" i="14"/>
  <c r="D48" i="14"/>
  <c r="C48" i="14"/>
  <c r="N47" i="14"/>
  <c r="K47" i="14"/>
  <c r="H47" i="14"/>
  <c r="D47" i="14"/>
  <c r="E47" i="14" s="1"/>
  <c r="C47" i="14"/>
  <c r="N46" i="14"/>
  <c r="K46" i="14"/>
  <c r="H46" i="14"/>
  <c r="D46" i="14"/>
  <c r="C46" i="14"/>
  <c r="N45" i="14"/>
  <c r="J45" i="14"/>
  <c r="K45" i="14" s="1"/>
  <c r="H45" i="14"/>
  <c r="C45" i="14"/>
  <c r="N44" i="14"/>
  <c r="K44" i="14"/>
  <c r="H44" i="14"/>
  <c r="D44" i="14"/>
  <c r="C44" i="14"/>
  <c r="N43" i="14"/>
  <c r="J43" i="14"/>
  <c r="K43" i="14" s="1"/>
  <c r="H43" i="14"/>
  <c r="C43" i="14"/>
  <c r="N42" i="14"/>
  <c r="K42" i="14"/>
  <c r="H42" i="14"/>
  <c r="D42" i="14"/>
  <c r="C42" i="14"/>
  <c r="N41" i="14"/>
  <c r="K41" i="14"/>
  <c r="H41" i="14"/>
  <c r="D41" i="14"/>
  <c r="C41" i="14"/>
  <c r="N40" i="14"/>
  <c r="K40" i="14"/>
  <c r="H40" i="14"/>
  <c r="D40" i="14"/>
  <c r="C40" i="14"/>
  <c r="N39" i="14"/>
  <c r="J39" i="14"/>
  <c r="K39" i="14" s="1"/>
  <c r="H39" i="14"/>
  <c r="C39" i="14"/>
  <c r="N38" i="14"/>
  <c r="K38" i="14"/>
  <c r="H38" i="14"/>
  <c r="D38" i="14"/>
  <c r="C38" i="14"/>
  <c r="N37" i="14"/>
  <c r="J37" i="14"/>
  <c r="K37" i="14" s="1"/>
  <c r="H37" i="14"/>
  <c r="C37" i="14"/>
  <c r="N36" i="14"/>
  <c r="J36" i="14"/>
  <c r="K36" i="14" s="1"/>
  <c r="H36" i="14"/>
  <c r="C36" i="14"/>
  <c r="N35" i="14"/>
  <c r="K35" i="14"/>
  <c r="H35" i="14"/>
  <c r="D35" i="14"/>
  <c r="C35" i="14"/>
  <c r="N34" i="14"/>
  <c r="J34" i="14"/>
  <c r="D34" i="14" s="1"/>
  <c r="H34" i="14"/>
  <c r="C34" i="14"/>
  <c r="N33" i="14"/>
  <c r="K33" i="14"/>
  <c r="H33" i="14"/>
  <c r="D33" i="14"/>
  <c r="C33" i="14"/>
  <c r="N32" i="14"/>
  <c r="K32" i="14"/>
  <c r="H32" i="14"/>
  <c r="D32" i="14"/>
  <c r="C32" i="14"/>
  <c r="N31" i="14"/>
  <c r="K31" i="14"/>
  <c r="H31" i="14"/>
  <c r="D31" i="14"/>
  <c r="C31" i="14"/>
  <c r="N30" i="14"/>
  <c r="J30" i="14"/>
  <c r="K30" i="14" s="1"/>
  <c r="H30" i="14"/>
  <c r="C30" i="14"/>
  <c r="N29" i="14"/>
  <c r="K29" i="14"/>
  <c r="H29" i="14"/>
  <c r="D29" i="14"/>
  <c r="C29" i="14"/>
  <c r="N28" i="14"/>
  <c r="J28" i="14"/>
  <c r="K28" i="14" s="1"/>
  <c r="H28" i="14"/>
  <c r="C28" i="14"/>
  <c r="N27" i="14"/>
  <c r="K27" i="14"/>
  <c r="H27" i="14"/>
  <c r="D27" i="14"/>
  <c r="C27" i="14"/>
  <c r="N26" i="14"/>
  <c r="K26" i="14"/>
  <c r="H26" i="14"/>
  <c r="D26" i="14"/>
  <c r="C26" i="14"/>
  <c r="M25" i="14"/>
  <c r="M15" i="14" s="1"/>
  <c r="L25" i="14"/>
  <c r="L15" i="14" s="1"/>
  <c r="K25" i="14"/>
  <c r="H25" i="14"/>
  <c r="D25" i="14"/>
  <c r="N24" i="14"/>
  <c r="K24" i="14"/>
  <c r="H24" i="14"/>
  <c r="D24" i="14"/>
  <c r="C24" i="14"/>
  <c r="N23" i="14"/>
  <c r="K23" i="14"/>
  <c r="H23" i="14"/>
  <c r="D23" i="14"/>
  <c r="C23" i="14"/>
  <c r="N22" i="14"/>
  <c r="K22" i="14"/>
  <c r="H22" i="14"/>
  <c r="D22" i="14"/>
  <c r="C22" i="14"/>
  <c r="N21" i="14"/>
  <c r="K21" i="14"/>
  <c r="H21" i="14"/>
  <c r="D21" i="14"/>
  <c r="C21" i="14"/>
  <c r="N20" i="14"/>
  <c r="K20" i="14"/>
  <c r="H20" i="14"/>
  <c r="D20" i="14"/>
  <c r="C20" i="14"/>
  <c r="N19" i="14"/>
  <c r="K19" i="14"/>
  <c r="H19" i="14"/>
  <c r="D19" i="14"/>
  <c r="C19" i="14"/>
  <c r="N18" i="14"/>
  <c r="K18" i="14"/>
  <c r="H18" i="14"/>
  <c r="D18" i="14"/>
  <c r="C18" i="14"/>
  <c r="N17" i="14"/>
  <c r="K17" i="14"/>
  <c r="H17" i="14"/>
  <c r="D17" i="14"/>
  <c r="C17" i="14"/>
  <c r="N16" i="14"/>
  <c r="K16" i="14"/>
  <c r="H16" i="14"/>
  <c r="D16" i="14"/>
  <c r="C16" i="14"/>
  <c r="I15" i="14"/>
  <c r="F15" i="14"/>
  <c r="N14" i="14"/>
  <c r="J14" i="14"/>
  <c r="I14" i="14"/>
  <c r="I12" i="14" s="1"/>
  <c r="H14" i="14"/>
  <c r="D14" i="14"/>
  <c r="N13" i="14"/>
  <c r="K13" i="14"/>
  <c r="H13" i="14"/>
  <c r="D13" i="14"/>
  <c r="C13" i="14"/>
  <c r="M12" i="14"/>
  <c r="L12" i="14"/>
  <c r="G12" i="14"/>
  <c r="F12" i="14"/>
  <c r="N11" i="14"/>
  <c r="K11" i="14"/>
  <c r="H11" i="14"/>
  <c r="D11" i="14"/>
  <c r="C11" i="14"/>
  <c r="C25" i="14" l="1"/>
  <c r="E35" i="14"/>
  <c r="E70" i="14"/>
  <c r="E74" i="14"/>
  <c r="E78" i="14"/>
  <c r="E90" i="14"/>
  <c r="E94" i="14"/>
  <c r="E98" i="14"/>
  <c r="N119" i="14"/>
  <c r="C14" i="14"/>
  <c r="C12" i="14" s="1"/>
  <c r="K14" i="14"/>
  <c r="E18" i="14"/>
  <c r="E22" i="14"/>
  <c r="E34" i="14"/>
  <c r="E126" i="14"/>
  <c r="E48" i="14"/>
  <c r="E66" i="14"/>
  <c r="E82" i="14"/>
  <c r="E86" i="14"/>
  <c r="E11" i="14"/>
  <c r="H12" i="14"/>
  <c r="E31" i="14"/>
  <c r="E49" i="14"/>
  <c r="E62" i="14"/>
  <c r="E71" i="14"/>
  <c r="E79" i="14"/>
  <c r="E83" i="14"/>
  <c r="E95" i="14"/>
  <c r="E99" i="14"/>
  <c r="E32" i="14"/>
  <c r="E40" i="14"/>
  <c r="E46" i="14"/>
  <c r="E51" i="14"/>
  <c r="E55" i="14"/>
  <c r="E59" i="14"/>
  <c r="E68" i="14"/>
  <c r="E72" i="14"/>
  <c r="E76" i="14"/>
  <c r="E80" i="14"/>
  <c r="E84" i="14"/>
  <c r="E88" i="14"/>
  <c r="E92" i="14"/>
  <c r="E96" i="14"/>
  <c r="E100" i="14"/>
  <c r="E104" i="14"/>
  <c r="E108" i="14"/>
  <c r="E112" i="14"/>
  <c r="E116" i="14"/>
  <c r="E44" i="14"/>
  <c r="E67" i="14"/>
  <c r="E75" i="14"/>
  <c r="E87" i="14"/>
  <c r="E91" i="14"/>
  <c r="D12" i="14"/>
  <c r="K12" i="14"/>
  <c r="M130" i="14"/>
  <c r="N25" i="14"/>
  <c r="N15" i="14" s="1"/>
  <c r="D28" i="14"/>
  <c r="E28" i="14" s="1"/>
  <c r="H119" i="14"/>
  <c r="E13" i="14"/>
  <c r="E19" i="14"/>
  <c r="E23" i="14"/>
  <c r="E33" i="14"/>
  <c r="K34" i="14"/>
  <c r="K15" i="14" s="1"/>
  <c r="E41" i="14"/>
  <c r="E52" i="14"/>
  <c r="E63" i="14"/>
  <c r="E105" i="14"/>
  <c r="E109" i="14"/>
  <c r="F130" i="14"/>
  <c r="K119" i="14"/>
  <c r="G15" i="14"/>
  <c r="E20" i="14"/>
  <c r="E24" i="14"/>
  <c r="E26" i="14"/>
  <c r="E29" i="14"/>
  <c r="D39" i="14"/>
  <c r="E39" i="14" s="1"/>
  <c r="E42" i="14"/>
  <c r="E53" i="14"/>
  <c r="E57" i="14"/>
  <c r="E61" i="14"/>
  <c r="E64" i="14"/>
  <c r="E102" i="14"/>
  <c r="E106" i="14"/>
  <c r="E110" i="14"/>
  <c r="E114" i="14"/>
  <c r="G119" i="14"/>
  <c r="E121" i="14"/>
  <c r="E125" i="14"/>
  <c r="E129" i="14"/>
  <c r="N12" i="14"/>
  <c r="C15" i="14"/>
  <c r="E38" i="14"/>
  <c r="E56" i="14"/>
  <c r="E60" i="14"/>
  <c r="H62" i="14"/>
  <c r="H15" i="14" s="1"/>
  <c r="E101" i="14"/>
  <c r="E113" i="14"/>
  <c r="E118" i="14"/>
  <c r="L130" i="14"/>
  <c r="E124" i="14"/>
  <c r="J12" i="14"/>
  <c r="I130" i="14"/>
  <c r="E17" i="14"/>
  <c r="E21" i="14"/>
  <c r="E25" i="14"/>
  <c r="E27" i="14"/>
  <c r="E54" i="14"/>
  <c r="E58" i="14"/>
  <c r="E65" i="14"/>
  <c r="E103" i="14"/>
  <c r="E107" i="14"/>
  <c r="E111" i="14"/>
  <c r="E115" i="14"/>
  <c r="D122" i="14"/>
  <c r="E122" i="14" s="1"/>
  <c r="C119" i="14"/>
  <c r="C130" i="14" s="1"/>
  <c r="E127" i="14"/>
  <c r="E120" i="14"/>
  <c r="E16" i="14"/>
  <c r="D45" i="14"/>
  <c r="E45" i="14" s="1"/>
  <c r="J15" i="14"/>
  <c r="J130" i="14" s="1"/>
  <c r="D30" i="14"/>
  <c r="E30" i="14" s="1"/>
  <c r="D36" i="14"/>
  <c r="E36" i="14" s="1"/>
  <c r="D43" i="14"/>
  <c r="E43" i="14" s="1"/>
  <c r="D37" i="14"/>
  <c r="E37" i="14" s="1"/>
  <c r="D50" i="14"/>
  <c r="E50" i="14" s="1"/>
  <c r="D117" i="14"/>
  <c r="E117" i="14" s="1"/>
  <c r="H130" i="14" l="1"/>
  <c r="E14" i="14"/>
  <c r="E12" i="14" s="1"/>
  <c r="N130" i="14"/>
  <c r="G130" i="14"/>
  <c r="K130" i="14"/>
  <c r="D119" i="14"/>
  <c r="E119" i="14"/>
  <c r="E15" i="14"/>
  <c r="D15" i="14"/>
  <c r="D130" i="14" l="1"/>
  <c r="E130" i="14"/>
  <c r="I53" i="5"/>
  <c r="J53" i="5"/>
  <c r="K53" i="5"/>
  <c r="L53" i="5"/>
  <c r="M53" i="5"/>
  <c r="H53" i="5"/>
  <c r="I50" i="5"/>
  <c r="J50" i="5"/>
  <c r="K50" i="5"/>
  <c r="L50" i="5"/>
  <c r="M50" i="5"/>
  <c r="H50" i="5"/>
  <c r="I45" i="5"/>
  <c r="J45" i="5"/>
  <c r="K45" i="5"/>
  <c r="L45" i="5"/>
  <c r="M45" i="5"/>
  <c r="H45" i="5"/>
  <c r="I39" i="5"/>
  <c r="J39" i="5"/>
  <c r="K39" i="5"/>
  <c r="L39" i="5"/>
  <c r="M39" i="5"/>
  <c r="H39" i="5"/>
  <c r="I35" i="5"/>
  <c r="J35" i="5"/>
  <c r="K35" i="5"/>
  <c r="L35" i="5"/>
  <c r="M35" i="5"/>
  <c r="I36" i="5"/>
  <c r="J36" i="5"/>
  <c r="K36" i="5"/>
  <c r="L36" i="5"/>
  <c r="M36" i="5"/>
  <c r="H36" i="5"/>
  <c r="H35" i="5"/>
  <c r="I31" i="5"/>
  <c r="J31" i="5"/>
  <c r="K31" i="5"/>
  <c r="L31" i="5"/>
  <c r="M31" i="5"/>
  <c r="I32" i="5"/>
  <c r="J32" i="5"/>
  <c r="K32" i="5"/>
  <c r="L32" i="5"/>
  <c r="M32" i="5"/>
  <c r="H32" i="5"/>
  <c r="H31" i="5"/>
  <c r="I27" i="5"/>
  <c r="J27" i="5"/>
  <c r="K27" i="5"/>
  <c r="L27" i="5"/>
  <c r="M27" i="5"/>
  <c r="H27" i="5"/>
  <c r="M21" i="5"/>
  <c r="L21" i="5"/>
  <c r="K21" i="5"/>
  <c r="J21" i="5"/>
  <c r="I21" i="5"/>
  <c r="H21" i="5"/>
  <c r="M15" i="5"/>
  <c r="L15" i="5"/>
  <c r="K15" i="5"/>
  <c r="J15" i="5"/>
  <c r="I15" i="5"/>
  <c r="H15" i="5"/>
  <c r="M16" i="5"/>
  <c r="L16" i="5"/>
  <c r="K16" i="5"/>
  <c r="J16" i="5"/>
  <c r="I16" i="5"/>
  <c r="H16" i="5"/>
  <c r="M14" i="5"/>
  <c r="L14" i="5"/>
  <c r="K14" i="5"/>
  <c r="J14" i="5"/>
  <c r="H37" i="3"/>
  <c r="H34" i="3"/>
  <c r="H133" i="3"/>
  <c r="H135" i="3"/>
  <c r="H107" i="3"/>
  <c r="J133" i="3"/>
  <c r="H134" i="3"/>
  <c r="H155" i="3"/>
  <c r="L19" i="3"/>
  <c r="K19" i="3"/>
  <c r="J19" i="3"/>
  <c r="I19" i="3"/>
  <c r="G19" i="3"/>
  <c r="H19" i="3" l="1"/>
  <c r="L103" i="3" l="1"/>
  <c r="M25" i="5" s="1"/>
  <c r="K103" i="3"/>
  <c r="L25" i="5" s="1"/>
  <c r="J103" i="3"/>
  <c r="K25" i="5" s="1"/>
  <c r="I103" i="3"/>
  <c r="J25" i="5" s="1"/>
  <c r="H103" i="3"/>
  <c r="I25" i="5" s="1"/>
  <c r="G103" i="3"/>
  <c r="H25" i="5" s="1"/>
  <c r="L112" i="3"/>
  <c r="K112" i="3"/>
  <c r="J112" i="3"/>
  <c r="I112" i="3"/>
  <c r="H114" i="3"/>
  <c r="H112" i="3" s="1"/>
  <c r="G114" i="3"/>
  <c r="G112" i="3" s="1"/>
  <c r="H33" i="5" l="1"/>
  <c r="I33" i="5"/>
  <c r="M33" i="5"/>
  <c r="J33" i="5"/>
  <c r="L33" i="5"/>
  <c r="K33" i="5"/>
  <c r="H18" i="3"/>
  <c r="D53" i="3"/>
  <c r="C53" i="3"/>
  <c r="L51" i="3"/>
  <c r="K51" i="3"/>
  <c r="J51" i="3"/>
  <c r="I51" i="3"/>
  <c r="H51" i="3"/>
  <c r="G51" i="3"/>
  <c r="L40" i="3"/>
  <c r="L12" i="3" s="1"/>
  <c r="K40" i="3"/>
  <c r="J40" i="3"/>
  <c r="J12" i="3" s="1"/>
  <c r="I40" i="3"/>
  <c r="H40" i="3"/>
  <c r="G40" i="3"/>
  <c r="G12" i="3" s="1"/>
  <c r="H48" i="5" l="1"/>
  <c r="L48" i="5"/>
  <c r="K19" i="5"/>
  <c r="I48" i="5"/>
  <c r="M48" i="5"/>
  <c r="J48" i="5"/>
  <c r="K48" i="5"/>
  <c r="F53" i="3"/>
  <c r="G10" i="3"/>
  <c r="H19" i="5"/>
  <c r="L10" i="3"/>
  <c r="M19" i="5"/>
  <c r="E53" i="3"/>
  <c r="J10" i="3"/>
  <c r="I12" i="3"/>
  <c r="K12" i="3"/>
  <c r="H12" i="3"/>
  <c r="C38" i="3"/>
  <c r="D38" i="3"/>
  <c r="F38" i="3" s="1"/>
  <c r="C39" i="3"/>
  <c r="D39" i="3"/>
  <c r="I19" i="5" l="1"/>
  <c r="I10" i="3"/>
  <c r="J19" i="5"/>
  <c r="E39" i="3"/>
  <c r="H10" i="3"/>
  <c r="K10" i="3"/>
  <c r="L19" i="5"/>
  <c r="F39" i="3"/>
  <c r="E38" i="3"/>
  <c r="L78" i="3"/>
  <c r="L74" i="3" s="1"/>
  <c r="J95" i="3"/>
  <c r="I95" i="3"/>
  <c r="H95" i="3"/>
  <c r="G95" i="3"/>
  <c r="K97" i="3"/>
  <c r="K95" i="3" s="1"/>
  <c r="L97" i="3"/>
  <c r="L95" i="3" s="1"/>
  <c r="L90" i="3"/>
  <c r="K90" i="3"/>
  <c r="J90" i="3"/>
  <c r="I90" i="3"/>
  <c r="H90" i="3"/>
  <c r="G90" i="3"/>
  <c r="J79" i="3"/>
  <c r="I79" i="3"/>
  <c r="H79" i="3"/>
  <c r="G79" i="3"/>
  <c r="L81" i="3"/>
  <c r="L79" i="3" s="1"/>
  <c r="K81" i="3"/>
  <c r="K79" i="3" s="1"/>
  <c r="K74" i="3"/>
  <c r="J74" i="3"/>
  <c r="I74" i="3"/>
  <c r="H74" i="3"/>
  <c r="G74" i="3"/>
  <c r="C78" i="3"/>
  <c r="L70" i="3"/>
  <c r="K70" i="3"/>
  <c r="J70" i="3"/>
  <c r="I70" i="3"/>
  <c r="H70" i="3"/>
  <c r="G70" i="3"/>
  <c r="D69" i="3"/>
  <c r="C69" i="3"/>
  <c r="L66" i="3"/>
  <c r="K66" i="3"/>
  <c r="J66" i="3"/>
  <c r="I66" i="3"/>
  <c r="H66" i="3"/>
  <c r="G66" i="3"/>
  <c r="L100" i="3"/>
  <c r="K100" i="3"/>
  <c r="J100" i="3"/>
  <c r="I100" i="3"/>
  <c r="H101" i="3"/>
  <c r="G101" i="3"/>
  <c r="D78" i="3" l="1"/>
  <c r="H23" i="5"/>
  <c r="H24" i="5"/>
  <c r="I28" i="5"/>
  <c r="M44" i="5"/>
  <c r="I23" i="5"/>
  <c r="M23" i="5"/>
  <c r="I24" i="5"/>
  <c r="L28" i="5"/>
  <c r="J28" i="5"/>
  <c r="J44" i="5"/>
  <c r="M49" i="5"/>
  <c r="J49" i="5"/>
  <c r="J23" i="5"/>
  <c r="J24" i="5"/>
  <c r="M28" i="5"/>
  <c r="K28" i="5"/>
  <c r="K44" i="5"/>
  <c r="L49" i="5"/>
  <c r="K49" i="5"/>
  <c r="L23" i="5"/>
  <c r="L24" i="5"/>
  <c r="I44" i="5"/>
  <c r="I49" i="5"/>
  <c r="K23" i="5"/>
  <c r="K24" i="5"/>
  <c r="H28" i="5"/>
  <c r="H44" i="5"/>
  <c r="L44" i="5"/>
  <c r="H49" i="5"/>
  <c r="M24" i="5"/>
  <c r="G100" i="3"/>
  <c r="H14" i="5"/>
  <c r="H100" i="3"/>
  <c r="I14" i="5"/>
  <c r="E69" i="3"/>
  <c r="L62" i="3"/>
  <c r="I62" i="3"/>
  <c r="E78" i="3"/>
  <c r="H62" i="3"/>
  <c r="J62" i="3"/>
  <c r="G62" i="3"/>
  <c r="K62" i="3"/>
  <c r="L167" i="3"/>
  <c r="L160" i="3" s="1"/>
  <c r="K167" i="3"/>
  <c r="K160" i="3" s="1"/>
  <c r="J167" i="3"/>
  <c r="J160" i="3" s="1"/>
  <c r="I167" i="3"/>
  <c r="I160" i="3" s="1"/>
  <c r="H167" i="3"/>
  <c r="G167" i="3"/>
  <c r="C169" i="3"/>
  <c r="H164" i="3"/>
  <c r="D164" i="3" s="1"/>
  <c r="D170" i="3"/>
  <c r="C170" i="3"/>
  <c r="D169" i="3"/>
  <c r="F169" i="3" s="1"/>
  <c r="D166" i="3"/>
  <c r="C166" i="3"/>
  <c r="D165" i="3"/>
  <c r="C165" i="3"/>
  <c r="C164" i="3"/>
  <c r="D163" i="3"/>
  <c r="C163" i="3"/>
  <c r="H162" i="3"/>
  <c r="D162" i="3" s="1"/>
  <c r="G162" i="3"/>
  <c r="C162" i="3" s="1"/>
  <c r="L158" i="3"/>
  <c r="K158" i="3"/>
  <c r="J158" i="3"/>
  <c r="H158" i="3"/>
  <c r="I158" i="3"/>
  <c r="G158" i="3"/>
  <c r="C158" i="3" s="1"/>
  <c r="H159" i="3"/>
  <c r="D159" i="3" s="1"/>
  <c r="C159" i="3"/>
  <c r="H148" i="3"/>
  <c r="G148" i="3"/>
  <c r="L149" i="3"/>
  <c r="K149" i="3"/>
  <c r="J149" i="3"/>
  <c r="I149" i="3"/>
  <c r="H149" i="3"/>
  <c r="G149" i="3"/>
  <c r="K108" i="3"/>
  <c r="L29" i="5" s="1"/>
  <c r="J108" i="3"/>
  <c r="K29" i="5" s="1"/>
  <c r="I108" i="3"/>
  <c r="J29" i="5" s="1"/>
  <c r="L110" i="3"/>
  <c r="L108" i="3" s="1"/>
  <c r="M29" i="5" s="1"/>
  <c r="H110" i="3"/>
  <c r="H108" i="3" s="1"/>
  <c r="I29" i="5" s="1"/>
  <c r="G110" i="3"/>
  <c r="G108" i="3" s="1"/>
  <c r="H29" i="5" s="1"/>
  <c r="C94" i="3"/>
  <c r="D94" i="3"/>
  <c r="C96" i="3"/>
  <c r="D96" i="3"/>
  <c r="C97" i="3"/>
  <c r="D97" i="3"/>
  <c r="C98" i="3"/>
  <c r="D98" i="3"/>
  <c r="C63" i="3"/>
  <c r="D63" i="3"/>
  <c r="C64" i="3"/>
  <c r="D64" i="3"/>
  <c r="C65" i="3"/>
  <c r="D65" i="3"/>
  <c r="K54" i="5" l="1"/>
  <c r="H20" i="5"/>
  <c r="J20" i="5"/>
  <c r="M20" i="5"/>
  <c r="M54" i="5"/>
  <c r="I20" i="5"/>
  <c r="L54" i="5"/>
  <c r="K20" i="5"/>
  <c r="J54" i="5"/>
  <c r="L20" i="5"/>
  <c r="E96" i="3"/>
  <c r="H173" i="3"/>
  <c r="L173" i="3"/>
  <c r="E65" i="3"/>
  <c r="C95" i="3"/>
  <c r="D49" i="5" s="1"/>
  <c r="J146" i="3"/>
  <c r="H146" i="3"/>
  <c r="L146" i="3"/>
  <c r="F165" i="3"/>
  <c r="G173" i="3"/>
  <c r="K173" i="3"/>
  <c r="F159" i="3"/>
  <c r="C167" i="3"/>
  <c r="C160" i="3" s="1"/>
  <c r="D54" i="5" s="1"/>
  <c r="G160" i="3"/>
  <c r="I173" i="3"/>
  <c r="E63" i="3"/>
  <c r="I146" i="3"/>
  <c r="G146" i="3"/>
  <c r="K146" i="3"/>
  <c r="D167" i="3"/>
  <c r="D160" i="3" s="1"/>
  <c r="E54" i="5" s="1"/>
  <c r="J173" i="3"/>
  <c r="H160" i="3"/>
  <c r="E98" i="3"/>
  <c r="E162" i="3"/>
  <c r="E97" i="3"/>
  <c r="F162" i="3"/>
  <c r="E64" i="3"/>
  <c r="D95" i="3"/>
  <c r="E49" i="5" s="1"/>
  <c r="E165" i="3"/>
  <c r="E94" i="3"/>
  <c r="E170" i="3"/>
  <c r="F170" i="3"/>
  <c r="E169" i="3"/>
  <c r="E166" i="3"/>
  <c r="F166" i="3"/>
  <c r="F163" i="3"/>
  <c r="E163" i="3"/>
  <c r="E164" i="3"/>
  <c r="F164" i="3"/>
  <c r="D158" i="3"/>
  <c r="E159" i="3"/>
  <c r="L86" i="3"/>
  <c r="K86" i="3"/>
  <c r="J86" i="3"/>
  <c r="I86" i="3"/>
  <c r="H86" i="3"/>
  <c r="G86" i="3"/>
  <c r="L118" i="3"/>
  <c r="K118" i="3"/>
  <c r="L41" i="5" s="1"/>
  <c r="J118" i="3"/>
  <c r="I118" i="3"/>
  <c r="H118" i="3"/>
  <c r="G118" i="3"/>
  <c r="L131" i="3"/>
  <c r="M42" i="5" s="1"/>
  <c r="K131" i="3"/>
  <c r="L42" i="5" s="1"/>
  <c r="J131" i="3"/>
  <c r="K42" i="5" s="1"/>
  <c r="I131" i="3"/>
  <c r="J42" i="5" s="1"/>
  <c r="H131" i="3"/>
  <c r="I42" i="5" s="1"/>
  <c r="G133" i="3"/>
  <c r="G131" i="3" s="1"/>
  <c r="H42" i="5" s="1"/>
  <c r="K125" i="3"/>
  <c r="J125" i="3"/>
  <c r="I125" i="3"/>
  <c r="L130" i="3"/>
  <c r="L125" i="3" s="1"/>
  <c r="H130" i="3"/>
  <c r="G130" i="3"/>
  <c r="M40" i="5" l="1"/>
  <c r="I54" i="5"/>
  <c r="M37" i="5"/>
  <c r="H40" i="5"/>
  <c r="L40" i="5"/>
  <c r="I51" i="5"/>
  <c r="J37" i="5"/>
  <c r="J38" i="5" s="1"/>
  <c r="I40" i="5"/>
  <c r="H54" i="5"/>
  <c r="K37" i="5"/>
  <c r="K38" i="5" s="1"/>
  <c r="J40" i="5"/>
  <c r="L37" i="5"/>
  <c r="L38" i="5" s="1"/>
  <c r="K40" i="5"/>
  <c r="H145" i="3"/>
  <c r="G102" i="3"/>
  <c r="H41" i="5"/>
  <c r="G145" i="3"/>
  <c r="H51" i="5"/>
  <c r="H102" i="3"/>
  <c r="I41" i="5"/>
  <c r="L102" i="3"/>
  <c r="M41" i="5"/>
  <c r="I145" i="3"/>
  <c r="J51" i="5"/>
  <c r="J145" i="3"/>
  <c r="K51" i="5"/>
  <c r="M38" i="5"/>
  <c r="I102" i="3"/>
  <c r="J41" i="5"/>
  <c r="K102" i="3"/>
  <c r="J102" i="3"/>
  <c r="K41" i="5"/>
  <c r="K145" i="3"/>
  <c r="L51" i="5"/>
  <c r="L145" i="3"/>
  <c r="M51" i="5"/>
  <c r="F160" i="3"/>
  <c r="F167" i="3"/>
  <c r="E167" i="3"/>
  <c r="E160" i="3" s="1"/>
  <c r="F54" i="5" s="1"/>
  <c r="E95" i="3"/>
  <c r="F49" i="5" s="1"/>
  <c r="E158" i="3"/>
  <c r="F158" i="3"/>
  <c r="H127" i="3"/>
  <c r="H125" i="3" s="1"/>
  <c r="G127" i="3"/>
  <c r="G125" i="3" s="1"/>
  <c r="H37" i="5" l="1"/>
  <c r="H38" i="5" s="1"/>
  <c r="I37" i="5"/>
  <c r="I38" i="5" s="1"/>
  <c r="J140" i="3"/>
  <c r="I140" i="3"/>
  <c r="L144" i="3"/>
  <c r="L140" i="3" s="1"/>
  <c r="K144" i="3"/>
  <c r="K140" i="3" s="1"/>
  <c r="H144" i="3"/>
  <c r="H140" i="3" s="1"/>
  <c r="G144" i="3"/>
  <c r="G140" i="3" s="1"/>
  <c r="C156" i="3"/>
  <c r="D156" i="3"/>
  <c r="G124" i="3" l="1"/>
  <c r="H46" i="5"/>
  <c r="H124" i="3"/>
  <c r="I46" i="5"/>
  <c r="J124" i="3"/>
  <c r="K46" i="5"/>
  <c r="L124" i="3"/>
  <c r="M46" i="5"/>
  <c r="I124" i="3"/>
  <c r="J46" i="5"/>
  <c r="K124" i="3"/>
  <c r="L46" i="5"/>
  <c r="E156" i="3"/>
  <c r="D23" i="11" l="1"/>
  <c r="C23" i="11"/>
  <c r="A12" i="4" l="1"/>
  <c r="A13" i="4" s="1"/>
  <c r="A14" i="4" s="1"/>
  <c r="A15" i="4" s="1"/>
  <c r="A16" i="4" s="1"/>
  <c r="A17" i="4" s="1"/>
  <c r="A18" i="4" s="1"/>
  <c r="A19" i="4" s="1"/>
  <c r="A20" i="4" s="1"/>
  <c r="C61" i="3" l="1"/>
  <c r="D61" i="3"/>
  <c r="C47" i="3"/>
  <c r="D47" i="3"/>
  <c r="E47" i="3" l="1"/>
  <c r="E61" i="3"/>
  <c r="E82" i="11"/>
  <c r="D81" i="11"/>
  <c r="C81" i="11"/>
  <c r="D80" i="11"/>
  <c r="F84" i="11"/>
  <c r="C78" i="11"/>
  <c r="C77" i="11" s="1"/>
  <c r="E76" i="11"/>
  <c r="E74" i="11"/>
  <c r="D66" i="11"/>
  <c r="F73" i="11"/>
  <c r="C66" i="11"/>
  <c r="D62" i="11"/>
  <c r="C62" i="11"/>
  <c r="F57" i="11"/>
  <c r="D55" i="11"/>
  <c r="C55" i="11"/>
  <c r="D45" i="11"/>
  <c r="C45" i="11"/>
  <c r="F47" i="11"/>
  <c r="D22" i="11" l="1"/>
  <c r="E81" i="11"/>
  <c r="F62" i="11"/>
  <c r="D78" i="11"/>
  <c r="D77" i="11" s="1"/>
  <c r="C22" i="11"/>
  <c r="C18" i="11" s="1"/>
  <c r="E80" i="11"/>
  <c r="E79" i="11"/>
  <c r="E75" i="11"/>
  <c r="E73" i="11"/>
  <c r="E72" i="11"/>
  <c r="E71" i="11"/>
  <c r="E70" i="11"/>
  <c r="E69" i="11"/>
  <c r="E68" i="11"/>
  <c r="E67" i="11"/>
  <c r="E61" i="11"/>
  <c r="E60" i="11"/>
  <c r="E59" i="11"/>
  <c r="E58" i="11"/>
  <c r="E57" i="11"/>
  <c r="E56" i="11"/>
  <c r="E54" i="11"/>
  <c r="E53" i="11"/>
  <c r="E52" i="11"/>
  <c r="E51" i="11"/>
  <c r="E50" i="11"/>
  <c r="E49" i="11"/>
  <c r="E48" i="11"/>
  <c r="E47" i="11"/>
  <c r="E46" i="11"/>
  <c r="E44" i="11"/>
  <c r="E42" i="11"/>
  <c r="E41" i="11"/>
  <c r="E40" i="11"/>
  <c r="E39" i="11"/>
  <c r="E38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1" i="11"/>
  <c r="E20" i="11"/>
  <c r="E12" i="11"/>
  <c r="E13" i="11"/>
  <c r="E14" i="11"/>
  <c r="E15" i="11"/>
  <c r="E16" i="11"/>
  <c r="E17" i="11"/>
  <c r="F42" i="11"/>
  <c r="D10" i="11"/>
  <c r="C10" i="11"/>
  <c r="C83" i="11" s="1"/>
  <c r="C85" i="11" s="1"/>
  <c r="E45" i="11" l="1"/>
  <c r="F10" i="11"/>
  <c r="E78" i="11"/>
  <c r="E77" i="11" s="1"/>
  <c r="E55" i="11"/>
  <c r="F13" i="4" l="1"/>
  <c r="F14" i="4"/>
  <c r="F15" i="4"/>
  <c r="F16" i="4"/>
  <c r="F17" i="4"/>
  <c r="F18" i="4"/>
  <c r="F19" i="4"/>
  <c r="F12" i="4"/>
  <c r="D20" i="4" l="1"/>
  <c r="E13" i="4"/>
  <c r="E14" i="4"/>
  <c r="E15" i="4"/>
  <c r="E16" i="4"/>
  <c r="E17" i="4"/>
  <c r="E18" i="4"/>
  <c r="E19" i="4"/>
  <c r="E12" i="4"/>
  <c r="C20" i="4"/>
  <c r="F20" i="4" l="1"/>
  <c r="E20" i="4"/>
  <c r="J17" i="5" l="1"/>
  <c r="H17" i="5"/>
  <c r="L17" i="5"/>
  <c r="K17" i="5"/>
  <c r="I17" i="5" l="1"/>
  <c r="C82" i="3" l="1"/>
  <c r="D82" i="3"/>
  <c r="E82" i="3" l="1"/>
  <c r="L43" i="5"/>
  <c r="J43" i="5"/>
  <c r="H43" i="5"/>
  <c r="M43" i="5"/>
  <c r="M17" i="5"/>
  <c r="K43" i="5"/>
  <c r="C111" i="3"/>
  <c r="D111" i="3"/>
  <c r="F111" i="3" l="1"/>
  <c r="K55" i="5"/>
  <c r="I43" i="5"/>
  <c r="J55" i="5"/>
  <c r="M55" i="5"/>
  <c r="E111" i="3"/>
  <c r="L55" i="5"/>
  <c r="M34" i="5" l="1"/>
  <c r="J30" i="5"/>
  <c r="M30" i="5"/>
  <c r="K30" i="5"/>
  <c r="M47" i="5"/>
  <c r="I55" i="5"/>
  <c r="K34" i="5"/>
  <c r="K47" i="5"/>
  <c r="H55" i="5"/>
  <c r="L47" i="5"/>
  <c r="L30" i="5"/>
  <c r="L34" i="5"/>
  <c r="J34" i="5"/>
  <c r="J47" i="5"/>
  <c r="L57" i="3"/>
  <c r="K57" i="3"/>
  <c r="J57" i="3"/>
  <c r="I57" i="3"/>
  <c r="H57" i="3"/>
  <c r="G57" i="3"/>
  <c r="C43" i="3"/>
  <c r="D43" i="3"/>
  <c r="K18" i="5" l="1"/>
  <c r="I18" i="5"/>
  <c r="M18" i="5"/>
  <c r="F43" i="3"/>
  <c r="J18" i="5"/>
  <c r="G55" i="3"/>
  <c r="G171" i="3" s="1"/>
  <c r="H18" i="5"/>
  <c r="K55" i="3"/>
  <c r="L18" i="5"/>
  <c r="L55" i="3"/>
  <c r="I55" i="3"/>
  <c r="H55" i="3"/>
  <c r="H171" i="3" s="1"/>
  <c r="J55" i="3"/>
  <c r="K52" i="5"/>
  <c r="I30" i="5"/>
  <c r="L52" i="5"/>
  <c r="M52" i="5"/>
  <c r="H47" i="5"/>
  <c r="H30" i="5"/>
  <c r="G54" i="5"/>
  <c r="I34" i="5"/>
  <c r="J52" i="5"/>
  <c r="H34" i="5"/>
  <c r="I47" i="5"/>
  <c r="E43" i="3"/>
  <c r="F11" i="11"/>
  <c r="F12" i="11"/>
  <c r="F13" i="11"/>
  <c r="F14" i="11"/>
  <c r="F15" i="11"/>
  <c r="F16" i="11"/>
  <c r="F17" i="11"/>
  <c r="F21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4" i="11"/>
  <c r="F45" i="11"/>
  <c r="F46" i="11"/>
  <c r="F48" i="11"/>
  <c r="F50" i="11"/>
  <c r="F51" i="11"/>
  <c r="F52" i="11"/>
  <c r="F53" i="11"/>
  <c r="F55" i="11"/>
  <c r="F56" i="11"/>
  <c r="F59" i="11"/>
  <c r="F60" i="11"/>
  <c r="F61" i="11"/>
  <c r="F63" i="11"/>
  <c r="F64" i="11"/>
  <c r="F65" i="11"/>
  <c r="F66" i="11"/>
  <c r="F67" i="11"/>
  <c r="F68" i="11"/>
  <c r="F71" i="11"/>
  <c r="F72" i="11"/>
  <c r="E65" i="11"/>
  <c r="E64" i="11"/>
  <c r="E63" i="11"/>
  <c r="F58" i="11"/>
  <c r="F54" i="11"/>
  <c r="E43" i="11"/>
  <c r="E23" i="11" s="1"/>
  <c r="E22" i="11" s="1"/>
  <c r="F40" i="11"/>
  <c r="E19" i="11"/>
  <c r="D19" i="11"/>
  <c r="E11" i="11"/>
  <c r="I8" i="3"/>
  <c r="J8" i="3"/>
  <c r="K8" i="3"/>
  <c r="L8" i="3"/>
  <c r="C9" i="3"/>
  <c r="D9" i="3"/>
  <c r="C11" i="3"/>
  <c r="D15" i="5" s="1"/>
  <c r="D11" i="3"/>
  <c r="E15" i="5" s="1"/>
  <c r="C13" i="3"/>
  <c r="D13" i="3"/>
  <c r="C14" i="3"/>
  <c r="D14" i="3"/>
  <c r="C15" i="3"/>
  <c r="D15" i="3"/>
  <c r="C16" i="3"/>
  <c r="D16" i="3"/>
  <c r="C17" i="3"/>
  <c r="D17" i="3"/>
  <c r="C18" i="3"/>
  <c r="D18" i="3"/>
  <c r="C20" i="3"/>
  <c r="D20" i="3"/>
  <c r="C21" i="3"/>
  <c r="D21" i="3"/>
  <c r="C22" i="3"/>
  <c r="D22" i="3"/>
  <c r="C23" i="3"/>
  <c r="D23" i="3"/>
  <c r="C24" i="3"/>
  <c r="D24" i="3"/>
  <c r="C25" i="3"/>
  <c r="D25" i="3"/>
  <c r="C26" i="3"/>
  <c r="D26" i="3"/>
  <c r="C27" i="3"/>
  <c r="D27" i="3"/>
  <c r="C28" i="3"/>
  <c r="D28" i="3"/>
  <c r="C29" i="3"/>
  <c r="D29" i="3"/>
  <c r="C30" i="3"/>
  <c r="D30" i="3"/>
  <c r="C31" i="3"/>
  <c r="D31" i="3"/>
  <c r="C32" i="3"/>
  <c r="D32" i="3"/>
  <c r="C33" i="3"/>
  <c r="D33" i="3"/>
  <c r="C34" i="3"/>
  <c r="D34" i="3"/>
  <c r="C35" i="3"/>
  <c r="D35" i="3"/>
  <c r="C36" i="3"/>
  <c r="D36" i="3"/>
  <c r="C37" i="3"/>
  <c r="D37" i="3"/>
  <c r="C41" i="3"/>
  <c r="D41" i="3"/>
  <c r="C42" i="3"/>
  <c r="D42" i="3"/>
  <c r="C44" i="3"/>
  <c r="D44" i="3"/>
  <c r="C45" i="3"/>
  <c r="D45" i="3"/>
  <c r="C46" i="3"/>
  <c r="D46" i="3"/>
  <c r="C48" i="3"/>
  <c r="D48" i="3"/>
  <c r="C49" i="3"/>
  <c r="D31" i="5" s="1"/>
  <c r="D49" i="3"/>
  <c r="E31" i="5" s="1"/>
  <c r="C50" i="3"/>
  <c r="D50" i="3"/>
  <c r="C54" i="3"/>
  <c r="C51" i="3" s="1"/>
  <c r="D54" i="3"/>
  <c r="C56" i="3"/>
  <c r="D16" i="5" s="1"/>
  <c r="D56" i="3"/>
  <c r="E16" i="5" s="1"/>
  <c r="C58" i="3"/>
  <c r="D58" i="3"/>
  <c r="C59" i="3"/>
  <c r="D59" i="3"/>
  <c r="C60" i="3"/>
  <c r="D60" i="3"/>
  <c r="C67" i="3"/>
  <c r="D67" i="3"/>
  <c r="C68" i="3"/>
  <c r="C66" i="3" s="1"/>
  <c r="C62" i="3" s="1"/>
  <c r="D20" i="5" s="1"/>
  <c r="D68" i="3"/>
  <c r="D66" i="3" s="1"/>
  <c r="C71" i="3"/>
  <c r="D71" i="3"/>
  <c r="C72" i="3"/>
  <c r="D72" i="3"/>
  <c r="C73" i="3"/>
  <c r="D73" i="3"/>
  <c r="C75" i="3"/>
  <c r="D75" i="3"/>
  <c r="C76" i="3"/>
  <c r="D76" i="3"/>
  <c r="C77" i="3"/>
  <c r="D77" i="3"/>
  <c r="C80" i="3"/>
  <c r="D80" i="3"/>
  <c r="C81" i="3"/>
  <c r="D81" i="3"/>
  <c r="C83" i="3"/>
  <c r="D83" i="3"/>
  <c r="C84" i="3"/>
  <c r="D32" i="5" s="1"/>
  <c r="D84" i="3"/>
  <c r="E32" i="5" s="1"/>
  <c r="C85" i="3"/>
  <c r="D35" i="5" s="1"/>
  <c r="D85" i="3"/>
  <c r="C87" i="3"/>
  <c r="D87" i="3"/>
  <c r="C88" i="3"/>
  <c r="D88" i="3"/>
  <c r="C89" i="3"/>
  <c r="D89" i="3"/>
  <c r="C91" i="3"/>
  <c r="D91" i="3"/>
  <c r="C92" i="3"/>
  <c r="D92" i="3"/>
  <c r="C93" i="3"/>
  <c r="D93" i="3"/>
  <c r="C99" i="3"/>
  <c r="D99" i="3"/>
  <c r="C101" i="3"/>
  <c r="D101" i="3"/>
  <c r="C104" i="3"/>
  <c r="D104" i="3"/>
  <c r="C105" i="3"/>
  <c r="D105" i="3"/>
  <c r="C106" i="3"/>
  <c r="D106" i="3"/>
  <c r="C107" i="3"/>
  <c r="D107" i="3"/>
  <c r="C109" i="3"/>
  <c r="D109" i="3"/>
  <c r="C110" i="3"/>
  <c r="C108" i="3" s="1"/>
  <c r="D29" i="5" s="1"/>
  <c r="D110" i="3"/>
  <c r="D108" i="3" s="1"/>
  <c r="E29" i="5" s="1"/>
  <c r="C113" i="3"/>
  <c r="D113" i="3"/>
  <c r="C114" i="3"/>
  <c r="D114" i="3"/>
  <c r="C115" i="3"/>
  <c r="D115" i="3"/>
  <c r="C116" i="3"/>
  <c r="D116" i="3"/>
  <c r="C117" i="3"/>
  <c r="D117" i="3"/>
  <c r="C119" i="3"/>
  <c r="D119" i="3"/>
  <c r="C120" i="3"/>
  <c r="D120" i="3"/>
  <c r="C121" i="3"/>
  <c r="D121" i="3"/>
  <c r="C122" i="3"/>
  <c r="D45" i="5" s="1"/>
  <c r="D122" i="3"/>
  <c r="E45" i="5" s="1"/>
  <c r="C123" i="3"/>
  <c r="D50" i="5" s="1"/>
  <c r="D123" i="3"/>
  <c r="E50" i="5" s="1"/>
  <c r="C126" i="3"/>
  <c r="D126" i="3"/>
  <c r="C127" i="3"/>
  <c r="D127" i="3"/>
  <c r="C128" i="3"/>
  <c r="D128" i="3"/>
  <c r="C129" i="3"/>
  <c r="D129" i="3"/>
  <c r="C130" i="3"/>
  <c r="D130" i="3"/>
  <c r="C132" i="3"/>
  <c r="D132" i="3"/>
  <c r="C133" i="3"/>
  <c r="D133" i="3"/>
  <c r="C134" i="3"/>
  <c r="D134" i="3"/>
  <c r="C135" i="3"/>
  <c r="D135" i="3"/>
  <c r="C136" i="3"/>
  <c r="D136" i="3"/>
  <c r="C137" i="3"/>
  <c r="D137" i="3"/>
  <c r="C138" i="3"/>
  <c r="D138" i="3"/>
  <c r="C139" i="3"/>
  <c r="D139" i="3"/>
  <c r="C141" i="3"/>
  <c r="D141" i="3"/>
  <c r="C142" i="3"/>
  <c r="D142" i="3"/>
  <c r="C143" i="3"/>
  <c r="D143" i="3"/>
  <c r="C144" i="3"/>
  <c r="D144" i="3"/>
  <c r="C147" i="3"/>
  <c r="D147" i="3"/>
  <c r="C148" i="3"/>
  <c r="D148" i="3"/>
  <c r="C150" i="3"/>
  <c r="D150" i="3"/>
  <c r="C151" i="3"/>
  <c r="D151" i="3"/>
  <c r="C152" i="3"/>
  <c r="D152" i="3"/>
  <c r="C153" i="3"/>
  <c r="D153" i="3"/>
  <c r="C154" i="3"/>
  <c r="D154" i="3"/>
  <c r="C155" i="3"/>
  <c r="D155" i="3"/>
  <c r="C157" i="3"/>
  <c r="D157" i="3"/>
  <c r="K171" i="3" l="1"/>
  <c r="E36" i="5"/>
  <c r="E53" i="5"/>
  <c r="E55" i="5" s="1"/>
  <c r="D51" i="3"/>
  <c r="F54" i="3"/>
  <c r="E21" i="5"/>
  <c r="F129" i="3"/>
  <c r="E39" i="5"/>
  <c r="L171" i="3"/>
  <c r="D53" i="5"/>
  <c r="D55" i="5" s="1"/>
  <c r="D27" i="5"/>
  <c r="D48" i="5"/>
  <c r="D21" i="5"/>
  <c r="D36" i="5"/>
  <c r="G36" i="5" s="1"/>
  <c r="D39" i="5"/>
  <c r="C40" i="3"/>
  <c r="G29" i="5"/>
  <c r="D79" i="3"/>
  <c r="E28" i="5" s="1"/>
  <c r="D74" i="3"/>
  <c r="D40" i="3"/>
  <c r="C100" i="3"/>
  <c r="D14" i="5"/>
  <c r="G45" i="5"/>
  <c r="G31" i="5"/>
  <c r="D100" i="3"/>
  <c r="E14" i="5"/>
  <c r="F85" i="3"/>
  <c r="E35" i="5"/>
  <c r="G16" i="5"/>
  <c r="F48" i="3"/>
  <c r="E27" i="5"/>
  <c r="G15" i="5"/>
  <c r="D112" i="3"/>
  <c r="J171" i="3"/>
  <c r="C112" i="3"/>
  <c r="C19" i="3"/>
  <c r="C90" i="3"/>
  <c r="C70" i="3"/>
  <c r="I171" i="3"/>
  <c r="D19" i="3"/>
  <c r="D103" i="3"/>
  <c r="E25" i="5" s="1"/>
  <c r="C103" i="3"/>
  <c r="D25" i="5" s="1"/>
  <c r="C149" i="3"/>
  <c r="C146" i="3" s="1"/>
  <c r="C118" i="3"/>
  <c r="C74" i="3"/>
  <c r="F157" i="3"/>
  <c r="D149" i="3"/>
  <c r="D146" i="3" s="1"/>
  <c r="E51" i="5" s="1"/>
  <c r="D90" i="3"/>
  <c r="D70" i="3"/>
  <c r="F66" i="3"/>
  <c r="D62" i="3"/>
  <c r="F83" i="3"/>
  <c r="C79" i="3"/>
  <c r="D28" i="5" s="1"/>
  <c r="F99" i="3"/>
  <c r="D125" i="3"/>
  <c r="E37" i="5" s="1"/>
  <c r="C140" i="3"/>
  <c r="D46" i="5" s="1"/>
  <c r="E150" i="3"/>
  <c r="D140" i="3"/>
  <c r="E46" i="5" s="1"/>
  <c r="F137" i="3"/>
  <c r="D131" i="3"/>
  <c r="E42" i="5" s="1"/>
  <c r="F122" i="3"/>
  <c r="D118" i="3"/>
  <c r="E41" i="5" s="1"/>
  <c r="F117" i="3"/>
  <c r="E37" i="3"/>
  <c r="F31" i="3"/>
  <c r="E29" i="3"/>
  <c r="E27" i="3"/>
  <c r="E14" i="3"/>
  <c r="C131" i="3"/>
  <c r="C125" i="3"/>
  <c r="D37" i="5" s="1"/>
  <c r="F134" i="3"/>
  <c r="E62" i="11"/>
  <c r="E18" i="11" s="1"/>
  <c r="E10" i="11"/>
  <c r="F19" i="11"/>
  <c r="E88" i="3"/>
  <c r="E151" i="3"/>
  <c r="E137" i="3"/>
  <c r="E117" i="3"/>
  <c r="E105" i="3"/>
  <c r="F88" i="3"/>
  <c r="E85" i="3"/>
  <c r="F35" i="5" s="1"/>
  <c r="F60" i="3"/>
  <c r="F43" i="11"/>
  <c r="E122" i="3"/>
  <c r="F45" i="5" s="1"/>
  <c r="E32" i="3"/>
  <c r="D18" i="11"/>
  <c r="D83" i="11" s="1"/>
  <c r="E143" i="3"/>
  <c r="E139" i="3"/>
  <c r="F73" i="3"/>
  <c r="E68" i="3"/>
  <c r="E66" i="3"/>
  <c r="E62" i="3" s="1"/>
  <c r="F20" i="5" s="1"/>
  <c r="E60" i="3"/>
  <c r="E50" i="3"/>
  <c r="E48" i="3"/>
  <c r="E42" i="3"/>
  <c r="M22" i="5"/>
  <c r="F49" i="11"/>
  <c r="E127" i="3"/>
  <c r="M26" i="5"/>
  <c r="E13" i="3"/>
  <c r="E142" i="3"/>
  <c r="F127" i="3"/>
  <c r="E81" i="3"/>
  <c r="E73" i="3"/>
  <c r="E54" i="3"/>
  <c r="E51" i="3" s="1"/>
  <c r="F32" i="3"/>
  <c r="F11" i="3"/>
  <c r="E11" i="3"/>
  <c r="F15" i="5" s="1"/>
  <c r="K26" i="5"/>
  <c r="F14" i="3"/>
  <c r="E157" i="3"/>
  <c r="E134" i="3"/>
  <c r="E132" i="3"/>
  <c r="E130" i="3"/>
  <c r="F121" i="3"/>
  <c r="E119" i="3"/>
  <c r="E49" i="3"/>
  <c r="F31" i="5" s="1"/>
  <c r="E41" i="3"/>
  <c r="E35" i="3"/>
  <c r="E31" i="3"/>
  <c r="F44" i="3"/>
  <c r="D8" i="3"/>
  <c r="G32" i="5"/>
  <c r="F151" i="3"/>
  <c r="E89" i="3"/>
  <c r="E83" i="3"/>
  <c r="E75" i="3"/>
  <c r="F50" i="3"/>
  <c r="F42" i="3"/>
  <c r="F37" i="3"/>
  <c r="J26" i="5"/>
  <c r="L26" i="5"/>
  <c r="H52" i="5"/>
  <c r="H26" i="5"/>
  <c r="E107" i="3"/>
  <c r="E147" i="3"/>
  <c r="E136" i="3"/>
  <c r="E126" i="3"/>
  <c r="F116" i="3"/>
  <c r="E106" i="3"/>
  <c r="E87" i="3"/>
  <c r="E59" i="3"/>
  <c r="E56" i="3"/>
  <c r="F16" i="5" s="1"/>
  <c r="E44" i="3"/>
  <c r="E30" i="3"/>
  <c r="E28" i="3"/>
  <c r="E26" i="3"/>
  <c r="E22" i="3"/>
  <c r="F15" i="3"/>
  <c r="I26" i="5"/>
  <c r="I52" i="5"/>
  <c r="E108" i="3"/>
  <c r="F29" i="5" s="1"/>
  <c r="E135" i="3"/>
  <c r="F139" i="3"/>
  <c r="E144" i="3"/>
  <c r="F144" i="3"/>
  <c r="E129" i="3"/>
  <c r="E115" i="3"/>
  <c r="F115" i="3"/>
  <c r="E71" i="3"/>
  <c r="E25" i="3"/>
  <c r="F25" i="3"/>
  <c r="E77" i="3"/>
  <c r="F77" i="3"/>
  <c r="E45" i="3"/>
  <c r="F45" i="3"/>
  <c r="E152" i="3"/>
  <c r="F152" i="3"/>
  <c r="E141" i="3"/>
  <c r="E114" i="3"/>
  <c r="F114" i="3"/>
  <c r="E104" i="3"/>
  <c r="F95" i="3"/>
  <c r="G49" i="5" s="1"/>
  <c r="F64" i="3"/>
  <c r="E33" i="3"/>
  <c r="F33" i="3"/>
  <c r="E24" i="3"/>
  <c r="F24" i="3"/>
  <c r="E17" i="3"/>
  <c r="F17" i="3"/>
  <c r="F155" i="3"/>
  <c r="E155" i="3"/>
  <c r="F153" i="3"/>
  <c r="E153" i="3"/>
  <c r="E113" i="3"/>
  <c r="E110" i="3"/>
  <c r="F110" i="3"/>
  <c r="E34" i="3"/>
  <c r="F34" i="3"/>
  <c r="E23" i="3"/>
  <c r="F23" i="3"/>
  <c r="E21" i="3"/>
  <c r="E18" i="3"/>
  <c r="F18" i="3"/>
  <c r="E16" i="3"/>
  <c r="F16" i="3"/>
  <c r="E84" i="3"/>
  <c r="F32" i="5" s="1"/>
  <c r="F84" i="3"/>
  <c r="F72" i="3"/>
  <c r="E72" i="3"/>
  <c r="E58" i="3"/>
  <c r="E154" i="3"/>
  <c r="F154" i="3"/>
  <c r="E148" i="3"/>
  <c r="F148" i="3"/>
  <c r="E109" i="3"/>
  <c r="E99" i="3"/>
  <c r="E91" i="3"/>
  <c r="E36" i="3"/>
  <c r="F36" i="3"/>
  <c r="E20" i="3"/>
  <c r="D57" i="3"/>
  <c r="F49" i="3"/>
  <c r="C86" i="3"/>
  <c r="E121" i="3"/>
  <c r="E138" i="3"/>
  <c r="F135" i="3"/>
  <c r="E67" i="3"/>
  <c r="E46" i="3"/>
  <c r="F35" i="3"/>
  <c r="F69" i="11"/>
  <c r="F70" i="11"/>
  <c r="F41" i="11"/>
  <c r="F23" i="11"/>
  <c r="F105" i="3"/>
  <c r="F106" i="3"/>
  <c r="F108" i="3"/>
  <c r="E123" i="3"/>
  <c r="F50" i="5" s="1"/>
  <c r="F123" i="3"/>
  <c r="G50" i="5" s="1"/>
  <c r="F136" i="3"/>
  <c r="E133" i="3"/>
  <c r="F133" i="3"/>
  <c r="F143" i="3"/>
  <c r="F138" i="3"/>
  <c r="F142" i="3"/>
  <c r="F128" i="3"/>
  <c r="E128" i="3"/>
  <c r="F130" i="3"/>
  <c r="E116" i="3"/>
  <c r="F120" i="3"/>
  <c r="E120" i="3"/>
  <c r="F107" i="3"/>
  <c r="F94" i="3"/>
  <c r="F89" i="3"/>
  <c r="D86" i="3"/>
  <c r="E93" i="3"/>
  <c r="F81" i="3"/>
  <c r="F68" i="3"/>
  <c r="F56" i="3"/>
  <c r="F93" i="3"/>
  <c r="E92" i="3"/>
  <c r="F92" i="3"/>
  <c r="E80" i="3"/>
  <c r="E76" i="3"/>
  <c r="F76" i="3"/>
  <c r="E101" i="3"/>
  <c r="F101" i="3"/>
  <c r="E9" i="3"/>
  <c r="C8" i="3"/>
  <c r="F9" i="3"/>
  <c r="F59" i="3"/>
  <c r="F46" i="3"/>
  <c r="F30" i="3"/>
  <c r="F29" i="3"/>
  <c r="F28" i="3"/>
  <c r="F27" i="3"/>
  <c r="F26" i="3"/>
  <c r="F22" i="3"/>
  <c r="F21" i="3"/>
  <c r="E15" i="3"/>
  <c r="G39" i="5" l="1"/>
  <c r="E24" i="5"/>
  <c r="E18" i="5"/>
  <c r="E44" i="5"/>
  <c r="E47" i="5" s="1"/>
  <c r="G55" i="5"/>
  <c r="F21" i="5"/>
  <c r="F27" i="5"/>
  <c r="F36" i="5"/>
  <c r="D23" i="5"/>
  <c r="F53" i="5"/>
  <c r="F55" i="5" s="1"/>
  <c r="E40" i="5"/>
  <c r="E43" i="5" s="1"/>
  <c r="F48" i="5"/>
  <c r="F39" i="5"/>
  <c r="E33" i="5"/>
  <c r="E34" i="5" s="1"/>
  <c r="E48" i="5"/>
  <c r="E52" i="5" s="1"/>
  <c r="D40" i="5"/>
  <c r="D30" i="5"/>
  <c r="G27" i="5"/>
  <c r="G53" i="5"/>
  <c r="F40" i="3"/>
  <c r="G37" i="5"/>
  <c r="D33" i="5"/>
  <c r="D34" i="5" s="1"/>
  <c r="D44" i="5"/>
  <c r="G28" i="5"/>
  <c r="D24" i="5"/>
  <c r="D26" i="5" s="1"/>
  <c r="E30" i="5"/>
  <c r="C173" i="3"/>
  <c r="E74" i="3"/>
  <c r="F100" i="3"/>
  <c r="E79" i="3"/>
  <c r="F28" i="5" s="1"/>
  <c r="F112" i="3"/>
  <c r="E118" i="3"/>
  <c r="F41" i="5" s="1"/>
  <c r="D41" i="5"/>
  <c r="G46" i="5"/>
  <c r="G35" i="5"/>
  <c r="E38" i="5"/>
  <c r="G14" i="5"/>
  <c r="E17" i="5"/>
  <c r="D17" i="5"/>
  <c r="F62" i="3"/>
  <c r="E20" i="5"/>
  <c r="G20" i="5" s="1"/>
  <c r="E100" i="3"/>
  <c r="F14" i="5"/>
  <c r="F131" i="3"/>
  <c r="D42" i="5"/>
  <c r="G42" i="5" s="1"/>
  <c r="F70" i="3"/>
  <c r="E23" i="5"/>
  <c r="C145" i="3"/>
  <c r="D51" i="5"/>
  <c r="D38" i="5"/>
  <c r="E70" i="3"/>
  <c r="D55" i="3"/>
  <c r="F103" i="3"/>
  <c r="G25" i="5" s="1"/>
  <c r="C12" i="3"/>
  <c r="E90" i="3"/>
  <c r="E19" i="3"/>
  <c r="E112" i="3"/>
  <c r="E40" i="3"/>
  <c r="E103" i="3"/>
  <c r="F25" i="5" s="1"/>
  <c r="F125" i="3"/>
  <c r="F118" i="3"/>
  <c r="E140" i="3"/>
  <c r="F46" i="5" s="1"/>
  <c r="D12" i="3"/>
  <c r="D173" i="3"/>
  <c r="D102" i="3"/>
  <c r="C102" i="3"/>
  <c r="F146" i="3"/>
  <c r="G51" i="5" s="1"/>
  <c r="D145" i="3"/>
  <c r="E146" i="3"/>
  <c r="F149" i="3"/>
  <c r="E149" i="3"/>
  <c r="E125" i="3"/>
  <c r="F37" i="5" s="1"/>
  <c r="F79" i="3"/>
  <c r="D124" i="3"/>
  <c r="F140" i="3"/>
  <c r="E131" i="3"/>
  <c r="F42" i="5" s="1"/>
  <c r="F97" i="3"/>
  <c r="C124" i="3"/>
  <c r="D85" i="11"/>
  <c r="F85" i="11" s="1"/>
  <c r="F83" i="11"/>
  <c r="F74" i="3"/>
  <c r="G24" i="5" s="1"/>
  <c r="F90" i="3"/>
  <c r="F98" i="3"/>
  <c r="E86" i="3"/>
  <c r="M56" i="5"/>
  <c r="F8" i="3"/>
  <c r="E66" i="11"/>
  <c r="E83" i="11" s="1"/>
  <c r="E85" i="11" s="1"/>
  <c r="F22" i="11"/>
  <c r="E57" i="3"/>
  <c r="F78" i="3"/>
  <c r="E8" i="3"/>
  <c r="J22" i="5"/>
  <c r="J56" i="5" s="1"/>
  <c r="F47" i="3"/>
  <c r="E26" i="5"/>
  <c r="L22" i="5"/>
  <c r="L56" i="5" s="1"/>
  <c r="G21" i="5"/>
  <c r="I22" i="5"/>
  <c r="I56" i="5" s="1"/>
  <c r="F69" i="3"/>
  <c r="H22" i="5"/>
  <c r="H56" i="5" s="1"/>
  <c r="K22" i="5"/>
  <c r="K56" i="5" s="1"/>
  <c r="F86" i="3"/>
  <c r="C57" i="3"/>
  <c r="F82" i="3"/>
  <c r="F61" i="3"/>
  <c r="F19" i="3"/>
  <c r="F51" i="3"/>
  <c r="G48" i="5" s="1"/>
  <c r="F65" i="3"/>
  <c r="F18" i="11"/>
  <c r="G40" i="5" l="1"/>
  <c r="G33" i="5"/>
  <c r="G30" i="5"/>
  <c r="G44" i="5"/>
  <c r="F38" i="5"/>
  <c r="F24" i="5"/>
  <c r="F26" i="5" s="1"/>
  <c r="F40" i="5"/>
  <c r="F43" i="5" s="1"/>
  <c r="F18" i="5"/>
  <c r="F33" i="5"/>
  <c r="F34" i="5" s="1"/>
  <c r="F44" i="5"/>
  <c r="F23" i="5"/>
  <c r="G23" i="5"/>
  <c r="F30" i="5"/>
  <c r="D18" i="5"/>
  <c r="G34" i="5"/>
  <c r="D47" i="5"/>
  <c r="G47" i="5" s="1"/>
  <c r="F173" i="3"/>
  <c r="C55" i="3"/>
  <c r="D43" i="5"/>
  <c r="G43" i="5" s="1"/>
  <c r="C10" i="3"/>
  <c r="D19" i="5"/>
  <c r="F17" i="5"/>
  <c r="G41" i="5"/>
  <c r="D52" i="5"/>
  <c r="G52" i="5" s="1"/>
  <c r="G38" i="5"/>
  <c r="E145" i="3"/>
  <c r="F51" i="5"/>
  <c r="F12" i="3"/>
  <c r="E19" i="5"/>
  <c r="F47" i="5"/>
  <c r="G17" i="5"/>
  <c r="E173" i="3"/>
  <c r="E12" i="3"/>
  <c r="E102" i="3"/>
  <c r="E55" i="3"/>
  <c r="D10" i="3"/>
  <c r="E124" i="3"/>
  <c r="F145" i="3"/>
  <c r="F102" i="3"/>
  <c r="F124" i="3"/>
  <c r="G26" i="5"/>
  <c r="F74" i="11"/>
  <c r="F57" i="3"/>
  <c r="G18" i="5" l="1"/>
  <c r="C171" i="3"/>
  <c r="E22" i="5"/>
  <c r="F55" i="3"/>
  <c r="G19" i="5"/>
  <c r="F52" i="5"/>
  <c r="D22" i="5"/>
  <c r="D56" i="5" s="1"/>
  <c r="E10" i="3"/>
  <c r="E171" i="3" s="1"/>
  <c r="F19" i="5"/>
  <c r="F10" i="3"/>
  <c r="D171" i="3"/>
  <c r="F156" i="3"/>
  <c r="F171" i="3" l="1"/>
  <c r="G22" i="5"/>
  <c r="E56" i="5"/>
  <c r="G56" i="5" s="1"/>
  <c r="F22" i="5"/>
  <c r="F56" i="5" s="1"/>
</calcChain>
</file>

<file path=xl/comments1.xml><?xml version="1.0" encoding="utf-8"?>
<comments xmlns="http://schemas.openxmlformats.org/spreadsheetml/2006/main">
  <authors>
    <author>Virginija Jurksiene</author>
  </authors>
  <commentList>
    <comment ref="L55" authorId="0" shapeId="0">
      <text>
        <r>
          <rPr>
            <b/>
            <sz val="9"/>
            <color indexed="81"/>
            <rFont val="Tahoma"/>
            <family val="2"/>
            <charset val="186"/>
          </rPr>
          <t>Virginija Jurksiene:</t>
        </r>
        <r>
          <rPr>
            <sz val="9"/>
            <color indexed="81"/>
            <rFont val="Tahoma"/>
            <family val="2"/>
            <charset val="186"/>
          </rPr>
          <t xml:space="preserve">
g.b. 4794735 SB</t>
        </r>
      </text>
    </comment>
  </commentList>
</comments>
</file>

<file path=xl/sharedStrings.xml><?xml version="1.0" encoding="utf-8"?>
<sst xmlns="http://schemas.openxmlformats.org/spreadsheetml/2006/main" count="620" uniqueCount="461">
  <si>
    <t>Eil. Nr.</t>
  </si>
  <si>
    <t>Asignavimų valdytojo / įstaigos pavadinimas</t>
  </si>
  <si>
    <t>Iš viso</t>
  </si>
  <si>
    <t>iš jų:</t>
  </si>
  <si>
    <t>2</t>
  </si>
  <si>
    <t>3</t>
  </si>
  <si>
    <t>4</t>
  </si>
  <si>
    <t>6</t>
  </si>
  <si>
    <t>Savivaldybės administracija</t>
  </si>
  <si>
    <t>Miesto ūkio departamentas</t>
  </si>
  <si>
    <t>Ugdymo ir kultūros departamentas</t>
  </si>
  <si>
    <t>Klaipėdos „Gintaro“ sporto centras</t>
  </si>
  <si>
    <t>Klaipėdos futbolo sporto mokykla</t>
  </si>
  <si>
    <t>Klaipėdos „Viesulo“ sporto centras</t>
  </si>
  <si>
    <t>Klaipėdos Vlado Knašiaus krepšinio mokykla</t>
  </si>
  <si>
    <t>Klaipėdos kūno kultūros ir rekreacijos centras</t>
  </si>
  <si>
    <t>Klaipėdos miesto savivaldybės viešoji biblioteka</t>
  </si>
  <si>
    <t>Klaipėdos miesto savivaldybės Mažosios Lietuvos istorijos muziejus</t>
  </si>
  <si>
    <t>Klaipėdos miesto savivaldybės kultūros centras Žvejų rūmai</t>
  </si>
  <si>
    <t>Klaipėdos miesto savivaldybės koncertinė įstaiga Klaipėdos koncertų salė</t>
  </si>
  <si>
    <t>Klaipėdos miesto savivaldybės etnokultūros centras</t>
  </si>
  <si>
    <t>Klaipėdos kultūrų komunikacijų centras</t>
  </si>
  <si>
    <t>Klaipėdos Vytauto Didžiojo gimnazija</t>
  </si>
  <si>
    <t>Klaipėdos „Žaliakalnio“ gimnazija</t>
  </si>
  <si>
    <t>Klaipėdos „Žemynos“ gimnazija</t>
  </si>
  <si>
    <t>Klaipėdos „Ąžuolyno“ gimnazija</t>
  </si>
  <si>
    <t>Klaipėdos Simono Dacho  progimnazija</t>
  </si>
  <si>
    <t>Klaipėdos Baltijos gimnazija</t>
  </si>
  <si>
    <t>Klaipėdos Prano Mašioto  progimnazija</t>
  </si>
  <si>
    <t>Klaipėdos Hermano Zudermano gimnazija</t>
  </si>
  <si>
    <t>Klaipėdos Maksimo Gorkio pagrindinė mokykla</t>
  </si>
  <si>
    <t>Klaipėdos „Vyturio“ pagrindinė mokykla</t>
  </si>
  <si>
    <t>Klaipėdos „Versmės“ progimnazija</t>
  </si>
  <si>
    <t>Klaipėdos „Smeltės“ progimnazija</t>
  </si>
  <si>
    <t>Klaipėdos „Pajūrio“ pagrindinė mokykla</t>
  </si>
  <si>
    <t>Klaipėdos „Saulėtekio“ pagrindinė mokykla</t>
  </si>
  <si>
    <t>Klaipėdos Vitės pagrindinė mokykla</t>
  </si>
  <si>
    <t xml:space="preserve">Klaipėdos „Gilijos“ pradinė mokykla </t>
  </si>
  <si>
    <t>Klaipėdos „Santarvės“ pagrindinė mokykla</t>
  </si>
  <si>
    <t>Klaipėdos Martyno Mažvydo  progimnazija</t>
  </si>
  <si>
    <t>Klaipėdos Tauralaukio progimnazija</t>
  </si>
  <si>
    <t>Klaipėdos Liudviko Stulpino progimnazija</t>
  </si>
  <si>
    <t>Klaipėdos „Gabijos“ progimnazija</t>
  </si>
  <si>
    <t>Klaipėdos „Šaltinėlio“ mokykla-darželis</t>
  </si>
  <si>
    <t>Klaipėdos lopšelis-darželis „Du gaideliai“</t>
  </si>
  <si>
    <t>Klaipėdos „Nykštuko“ mokykla-darželis</t>
  </si>
  <si>
    <t>Klaipėdos „Varpelio“ mokykla-darželis</t>
  </si>
  <si>
    <t>Klaipėdos „Saulutės“ mokykla-darželis</t>
  </si>
  <si>
    <t>Klaipėdos Marijos Montessori mokykla-darželis</t>
  </si>
  <si>
    <t>Klaipėdos „Pakalnutės“ mokykla-darželis</t>
  </si>
  <si>
    <t>Klaipėdos lopšelis-darželis „Berželis“</t>
  </si>
  <si>
    <t>Klaipėdos lopšelis-darželis „Švyturėlis“</t>
  </si>
  <si>
    <t>Klaipėdos darželis „Gintarėlis“</t>
  </si>
  <si>
    <t>Klaipėdos lopšelis-darželis „Čiauškutė“</t>
  </si>
  <si>
    <t>Klaipėdos lopšelis-darželis „Pušaitė“</t>
  </si>
  <si>
    <t>Klaipėdos lopšelis-darželis „Eglutė“</t>
  </si>
  <si>
    <t>Klaipėdos lopšelis-darželis „Giliukas“</t>
  </si>
  <si>
    <t>Klaipėdos lopšelis-darželis „Sakalėlis“</t>
  </si>
  <si>
    <t>Klaipėdos lopšelis-darželis „Pagrandukas“</t>
  </si>
  <si>
    <t>Klaipėdos lopšelis-darželis „Žiburėlis“</t>
  </si>
  <si>
    <t>Klaipėdos lopšelis-darželis „Puriena“</t>
  </si>
  <si>
    <t>Klaipėdos lopšelis-darželis „Radastėlė“</t>
  </si>
  <si>
    <t>Klaipėdos lopšelis-darželis „Liepaitė“</t>
  </si>
  <si>
    <t>Klaipėdos lopšelis-darželis „Boružėlė“</t>
  </si>
  <si>
    <t>Klaipėdos lopšelis-darželis „Bitutė“</t>
  </si>
  <si>
    <t>Klaipėdos lopšelis-darželis „Kregždutė“</t>
  </si>
  <si>
    <t>Klaipėdos lopšelis-darželis „Vėrinėlis“</t>
  </si>
  <si>
    <t>Klaipėdos lopšelis-darželis „Putinėlis“</t>
  </si>
  <si>
    <t>Klaipėdos lopšelis-darželis „Želmenėlis“</t>
  </si>
  <si>
    <t>Klaipėdos lopšelis-darželis „Obelėlė“</t>
  </si>
  <si>
    <t>Klaipėdos lopšelis-darželis „Klevelis“</t>
  </si>
  <si>
    <t>Klaipėdos lopšelis-darželis „Žilvitis“</t>
  </si>
  <si>
    <t>Klaipėdos lopšelis-darželis „Rūta“</t>
  </si>
  <si>
    <t>Klaipėdos lopšelis-darželis „Žuvėdra“</t>
  </si>
  <si>
    <t>Klaipėdos lopšelis-darželis „Pingvinukas“</t>
  </si>
  <si>
    <t>Klaipėdos lopšelis-darželis „Traukinukas“</t>
  </si>
  <si>
    <t>Klaipėdos lopšelis-darželis „Svirpliukas“</t>
  </si>
  <si>
    <t>Klaipėdos lopšelis-darželis „Volungėlė“</t>
  </si>
  <si>
    <t>Klaipėdos lopšelis-darželis „Dobiliukas“</t>
  </si>
  <si>
    <t>Klaipėdos lopšelis-darželis „Linelis“</t>
  </si>
  <si>
    <t>Klaipėdos lopšelis-darželis „Žiogelis“</t>
  </si>
  <si>
    <t>Klaipėdos lopšelis-darželis „Aušrinė“</t>
  </si>
  <si>
    <t>Klaipėdos lopšelis-darželis „Atžalynas“</t>
  </si>
  <si>
    <t>Klaipėdos lopšelis-darželis „Žemuogėlė“</t>
  </si>
  <si>
    <t>Klaipėdos lopšelis-darželis „Alksniukas“</t>
  </si>
  <si>
    <t>Klaipėdos lopšelis-darželis „Pumpurėlis“</t>
  </si>
  <si>
    <t>Klaipėdos lopšelis-darželis „Papartėlis“</t>
  </si>
  <si>
    <t>Klaipėdos lopšelis-darželis „Aitvarėlis“</t>
  </si>
  <si>
    <t>Klaipėdos lopšelis-darželis „Bangelė“</t>
  </si>
  <si>
    <t>Klaipėdos lopšelis-darželis „Ąžuoliukas“</t>
  </si>
  <si>
    <t>Klaipėdos Juozo Karoso muzikos mokykla</t>
  </si>
  <si>
    <t>Klaipėdos Jeronimo Kačinsko muzikos mokykla</t>
  </si>
  <si>
    <t>Klaipėdos Adomo Brako dailės mokykla</t>
  </si>
  <si>
    <t>Klaipėdos moksleivių saviraiškos centras</t>
  </si>
  <si>
    <t>Klaipėdos jaunimo centras</t>
  </si>
  <si>
    <t xml:space="preserve">Klaipėdos vaikų laisvalaikio centras </t>
  </si>
  <si>
    <t>Klaipėdos regos ugdymo centras</t>
  </si>
  <si>
    <t>Klaipėdos pedagogų švietimo ir kultūros centras</t>
  </si>
  <si>
    <t>Klaipėdos pedagoginė psichologinė tarnyba</t>
  </si>
  <si>
    <t>Klaipėdos Litorinos mokykla</t>
  </si>
  <si>
    <t>Socialinių reikalų departamentas</t>
  </si>
  <si>
    <t>Klaipėdos miesto socialinės paramos centras</t>
  </si>
  <si>
    <t>Klaipėdos miesto globos namai</t>
  </si>
  <si>
    <t>Neįgaliųjų  centras „Klaipėdos lakštutė“</t>
  </si>
  <si>
    <t>Klaipėdos miesto nakvynės namai</t>
  </si>
  <si>
    <t>Klaipėdos vaikų globos namai „Smiltelė“</t>
  </si>
  <si>
    <t>Klaipėdos vaikų globos namai „Rytas“</t>
  </si>
  <si>
    <t>Klaipėdos miesto šeimos ir vaiko gerovės centras</t>
  </si>
  <si>
    <t xml:space="preserve">Klaipėdos „Medeinės“ mokykla </t>
  </si>
  <si>
    <t>Klaipėdos miesto lengvosios atletikos mokykla</t>
  </si>
  <si>
    <t>Klaipėdos „Aitvaro“ gimnazija</t>
  </si>
  <si>
    <t>Klaipėdos „Aukuro“ gimnazija</t>
  </si>
  <si>
    <t>Klaipėdos Vydūno gimnazija</t>
  </si>
  <si>
    <t>Klaipėdos „Verdenės“ progimnazija</t>
  </si>
  <si>
    <t>Klaipėdos Sendvario progimnazija</t>
  </si>
  <si>
    <t>Klaipėdos lopšelis-darželis „Šermukšnėlė“</t>
  </si>
  <si>
    <t>PAJAMOS</t>
  </si>
  <si>
    <t>Pavadinimas</t>
  </si>
  <si>
    <t>MOKESČIAI (2+...+8)</t>
  </si>
  <si>
    <t xml:space="preserve">Gyventojų pajamų mokestis </t>
  </si>
  <si>
    <t>Žemės mokestis</t>
  </si>
  <si>
    <t>Paveldimo turto mokestis</t>
  </si>
  <si>
    <t>Nekilnojamojo turto mokestis</t>
  </si>
  <si>
    <t>Mokestis už aplinkos teršimą</t>
  </si>
  <si>
    <t>Valstybės rinkliavos</t>
  </si>
  <si>
    <t>Vietinės rinkliavos</t>
  </si>
  <si>
    <t>Europos Sąjungos finansinės paramos lėšos (11+12)</t>
  </si>
  <si>
    <t>Einamiesiems tikslams</t>
  </si>
  <si>
    <t>Kapitalui formuoti</t>
  </si>
  <si>
    <t>Duomenų teikimas Suteiktos valstybės pagalbos registrui</t>
  </si>
  <si>
    <t xml:space="preserve">Dalyvavimas rengiant ir vykdant mobilizaciją </t>
  </si>
  <si>
    <t>Valstybinės kalbos vartojimo ir taisyklingumo kontrolė</t>
  </si>
  <si>
    <t>Archyvinių dokumentų tvarkymas</t>
  </si>
  <si>
    <t>Pirminės teisinės pagalbos teikimas</t>
  </si>
  <si>
    <t>Civilinės būklės aktų registravimas</t>
  </si>
  <si>
    <t>Gyvenamosios vietos deklaravimas</t>
  </si>
  <si>
    <t>Civilinės saugos organizavimas</t>
  </si>
  <si>
    <t>Gyventojų registro tvarkymas ir duomenų valstybės registrui teikimas</t>
  </si>
  <si>
    <t>Valstybinės žemės ir kito valstybės turto valdymas, naudojimas ir disponavimas juo patikėjimo teise</t>
  </si>
  <si>
    <t>Žemės ūkio funkcijoms vykdyti</t>
  </si>
  <si>
    <t>Vaikų ir jaunimo teisių apsauga</t>
  </si>
  <si>
    <t>Darbo rinkos politikos priemonių ir gyventojų užimtumo programų rengimas ir įgyvendinimas</t>
  </si>
  <si>
    <t xml:space="preserve">Socialinės paslaugos </t>
  </si>
  <si>
    <t>Socialinėms išmokoms ir kompensacijoms skaičiuoti ir mokėti</t>
  </si>
  <si>
    <t>Socialinė parama mokiniams</t>
  </si>
  <si>
    <t>Mokinių visuomenės sveikatos priežiūra</t>
  </si>
  <si>
    <t>Visuomenės sveikatos stiprinimas ir stebėsena</t>
  </si>
  <si>
    <t>Klaipėdos miesto baseino (50 m) su sveikatingumo centru statyba</t>
  </si>
  <si>
    <t>Mokinio krepšeliui finansuoti</t>
  </si>
  <si>
    <t>švietimo (be mokinio krepšelio)</t>
  </si>
  <si>
    <t>socialinės apsaugos</t>
  </si>
  <si>
    <t>sveikatos</t>
  </si>
  <si>
    <t>Savivaldybių mokykloms (klasėms), turinčioms specialiųjų ugdymosi poreikio mokinių, finansuoti</t>
  </si>
  <si>
    <t>Dividendai</t>
  </si>
  <si>
    <t xml:space="preserve">Nuomos mokestis už valstybinę žemę ir valstybinio vidaus vandenų fondo vandens telkinius </t>
  </si>
  <si>
    <t xml:space="preserve">Mokesčiai už valstybinius gamtos išteklius </t>
  </si>
  <si>
    <t>Pajamos už prekes ir paslaugas</t>
  </si>
  <si>
    <t>Pajamos už patalpų nuomą</t>
  </si>
  <si>
    <t>Įmokos už išlaikymą švietimo, socialinės apsaugos ir kitose įstaigose</t>
  </si>
  <si>
    <t>Pajamos iš baudų ir konfiskacijos</t>
  </si>
  <si>
    <t>Pajamos už leidimų ir kitų dokumentų išdavimą</t>
  </si>
  <si>
    <t>Kitos neišvardintos pajamos</t>
  </si>
  <si>
    <t>Žemė</t>
  </si>
  <si>
    <t>ASIGNAVIMAI</t>
  </si>
  <si>
    <t>Asignavimų valdytojas / programos pavadinimas</t>
  </si>
  <si>
    <t>išlaidoms</t>
  </si>
  <si>
    <t>turtui įsigyti</t>
  </si>
  <si>
    <t>Savivaldybės kontrolės ir audito  tarnyba</t>
  </si>
  <si>
    <t>Savivaldybės valdymo  programa</t>
  </si>
  <si>
    <t>Savivaldybės tarybos aptarnavimas (savivaldybės biudžeto lėšos)</t>
  </si>
  <si>
    <t>Savivaldybės sekretoriato aptarnavimas (savivaldybės biudžeto lėšos)</t>
  </si>
  <si>
    <t>Savivaldybės administracijos veiklos užtikrinimas ir kitų priemonių vykdymas (savivaldybės biudžeto lėšos)</t>
  </si>
  <si>
    <t xml:space="preserve">Savivaldybės administracijos direktoriaus rezervas (savivaldybės biudžeto lėšos) </t>
  </si>
  <si>
    <t>Savivaldybės valdymo  programa (asignavimų valdytojo pajamų įmokos)</t>
  </si>
  <si>
    <t>Savivaldybės valdymo  programa (specialios tikslinės dotacijos valstybinėms (valstybės perduotoms savivaldybėms) funkcijoms atlikti lėšos)</t>
  </si>
  <si>
    <t>Vaikų teisių apsauga</t>
  </si>
  <si>
    <t>Jaunimo teisių apsauga</t>
  </si>
  <si>
    <t>Darbo rinkos politikos priemonių ir gyventojų užimtumo programų rengimo ir įgyvendinimo administravimas</t>
  </si>
  <si>
    <t xml:space="preserve">Socialinių paslaugų administravimas </t>
  </si>
  <si>
    <t>Socialinėms išmokoms ir kompensacijoms skaičiuoti ir mokėti administravimas</t>
  </si>
  <si>
    <t>Socialinės paramos mokiniams administravimas</t>
  </si>
  <si>
    <t>Savivaldybės valdymo  programa (specialios tikslinės dotacijos savivaldybėms perduotoms įstaigoms išlaikyti lėšos)</t>
  </si>
  <si>
    <t>Investicijų ir ekonomikos departamentas</t>
  </si>
  <si>
    <t>Subalansuoto turizmo skatinimo ir vystymo programa (savivaldybės biudžeto lėšos)</t>
  </si>
  <si>
    <t xml:space="preserve">Subalansuoto turizmo skatinimo ir vystymo programa (paskolų lėšos) </t>
  </si>
  <si>
    <t xml:space="preserve">Savivaldybės valdymo  programa </t>
  </si>
  <si>
    <t>Savivaldybės valdymo  programa (savivaldybės biudžeto lėšos)</t>
  </si>
  <si>
    <t xml:space="preserve">Savivaldybės valdymo  programa (paskolų lėšos) </t>
  </si>
  <si>
    <t xml:space="preserve">Smulkiojo ir vidutinio verslo plėtros programa </t>
  </si>
  <si>
    <t>Smulkiojo ir vidutinio verslo plėtros programa (savivaldybės biudžeto lėšos)</t>
  </si>
  <si>
    <t xml:space="preserve">Smulkiojo ir vidutinio verslo plėtros programa (paskolų lėšos) </t>
  </si>
  <si>
    <t xml:space="preserve">Aplinkos apsaugos programa </t>
  </si>
  <si>
    <t>Aplinkos apsaugos programa (savivaldybės biudžeto lėšos)</t>
  </si>
  <si>
    <t xml:space="preserve">Aplinkos apsaugos programa (paskolų lėšos) </t>
  </si>
  <si>
    <t>Aplinkos apsaugos rėmimo specialioji programa</t>
  </si>
  <si>
    <t>Susisiekimo sistemos priežiūros ir plėtros programa (savivaldybės biudžeto lėšos)</t>
  </si>
  <si>
    <t xml:space="preserve">Susisiekimo sistemos priežiūros ir plėtros programa (paskolų lėšos) </t>
  </si>
  <si>
    <t>Miesto infrastruktūros objektų priežiūros ir modernizavimo programa (savivaldybės biudžeto lėšos)</t>
  </si>
  <si>
    <t xml:space="preserve">Ugdymo proceso užtikrinimo programa </t>
  </si>
  <si>
    <t>Ugdymo proceso užtikrinimo programa (savivaldybės biudžeto lėšos)</t>
  </si>
  <si>
    <t xml:space="preserve">Ugdymo proceso užtikrinimo programa (paskolų lėšos) </t>
  </si>
  <si>
    <t xml:space="preserve">Kūno kultūros ir sporto plėtros programa </t>
  </si>
  <si>
    <t xml:space="preserve">Kūno kultūros ir sporto plėtros programa (savivaldybės biudžeto lėšos) </t>
  </si>
  <si>
    <t xml:space="preserve">Kūno kultūros ir sporto plėtros programa (specialios tikslinės dotacijos valstybės kapitalo investicijų programoje numatytiems projektams finansuoti lėšos) </t>
  </si>
  <si>
    <t xml:space="preserve">Socialinės atskirties mažinimo programa </t>
  </si>
  <si>
    <t>Socialinės atskirties mažinimo programa (savivaldybės biudžeto lėšos)</t>
  </si>
  <si>
    <t>Socialinės atskirties mažinimo programa (paskolų lėšos)</t>
  </si>
  <si>
    <t>Urbanistinės plėtros departamentas</t>
  </si>
  <si>
    <t>Aplinkos apsaugos programa</t>
  </si>
  <si>
    <t xml:space="preserve">Miesto infrastruktūros objektų priežiūros ir modernizavimo programa </t>
  </si>
  <si>
    <t>Miesto infrastruktūros objektų priežiūros ir modernizavimo programa (asignavimų valdytojo pajamų įmokos)</t>
  </si>
  <si>
    <t>Ugdymo proceso užtikrinimo programa (specialios tikslinės dotacijos savivaldybėms perduotoms įstaigoms išlaikyti lėšos)</t>
  </si>
  <si>
    <t xml:space="preserve">Miesto kultūrinio savitumo puoselėjimo bei kultūrinių paslaugų gerinimo programa </t>
  </si>
  <si>
    <t>Miesto kultūrinio savitumo puoselėjimo bei kultūrinių paslaugų gerinimo programa (savivaldybės biudžeto lėšos)</t>
  </si>
  <si>
    <t>Miesto kultūrinio savitumo puoselėjimo bei kultūrinių paslaugų gerinimo programa (asignavimų valdytojo pajamų įmokos)</t>
  </si>
  <si>
    <t>Ugdymo proceso užtikrinimo programa</t>
  </si>
  <si>
    <t>Ugdymo proceso užtikrinimo programa  (savivaldybės biudžeto lėšos)</t>
  </si>
  <si>
    <t>Ugdymo proceso užtikrinimo programa (specialios tikslinės dotacijos mokinio krepšeliui finansuoti lėšos)</t>
  </si>
  <si>
    <t>Ugdymo proceso užtikrinimo programa (specialios tikslinės dotacijos savivaldybių mokykloms (klasėms), turinčioms specialiųjų ugdymosi poreikio mokinių, finansuoti lėšos)</t>
  </si>
  <si>
    <t>Ugdymo proceso užtikrinimo programa (asignavimų valdytojo pajamų įmokos)</t>
  </si>
  <si>
    <t>Kūno kultūros ir sporto plėtros programa</t>
  </si>
  <si>
    <t>Kūno kultūros ir sporto plėtros programa (savivaldybės biudžeto lėšos)</t>
  </si>
  <si>
    <t>Kūno kultūros ir sporto plėtros programa (asignavimų valdytojo pajamų įmokos)</t>
  </si>
  <si>
    <t>Socialinės atskirties mažinimo programa</t>
  </si>
  <si>
    <t>Socialinės atskirties mažinimo programa (specialios tikslinės dotacijos valstybinėms (valstybės perduotoms savivaldybėms) funkcijoms atlikti lėšos)</t>
  </si>
  <si>
    <t>Socialinėms išmokoms ir kompensacijoms mokėti</t>
  </si>
  <si>
    <t>Socialinės atskirties mažinimo programa (specialios tikslinės dotacijos savivaldybėms perduotoms įstaigoms išlaikyti lėšos)</t>
  </si>
  <si>
    <t>Socialinės atskirties mažinimo programa (asignavimų valdytojo pajamų įmokos)</t>
  </si>
  <si>
    <t>Socialinės atskirties mažinimo programa (asignavimų valdytojo pajamų už gyvenamųjų patalpų nuomą įmokos)</t>
  </si>
  <si>
    <t>Sveikatos apsaugos programa</t>
  </si>
  <si>
    <t>Sveikatos apsaugos programa (specialios tikslinės dotacijos savivaldybėms perduotoms įstaigoms išlaikyti lėšos)</t>
  </si>
  <si>
    <t>Sveikatos apsaugos programa (specialios tikslinės dotacijos valstybinėms (valstybės perduotoms savivaldybėms) funkcijoms atlikti lėšos)</t>
  </si>
  <si>
    <t>Visuomenės sveikatos rėmimo specialioji programa</t>
  </si>
  <si>
    <t>Visuomenės sveikatos rėmimo specialioji programa (savivaldybės biudžeto lėšos)</t>
  </si>
  <si>
    <t xml:space="preserve">Iš viso </t>
  </si>
  <si>
    <t>Programos pavadinimas</t>
  </si>
  <si>
    <t>Asignavimų valdytojas</t>
  </si>
  <si>
    <t>1.</t>
  </si>
  <si>
    <t>Miesto urbanistinio planavimo programa</t>
  </si>
  <si>
    <t>Iš viso programai</t>
  </si>
  <si>
    <t>2.</t>
  </si>
  <si>
    <t>Subalansuoto turizmo skatinimo ir vystymo programa</t>
  </si>
  <si>
    <t>3.</t>
  </si>
  <si>
    <t>Smulkiojo ir vidutinio verslo plėtros programa</t>
  </si>
  <si>
    <t>5.</t>
  </si>
  <si>
    <t>6.</t>
  </si>
  <si>
    <t>Susisiekimo sistemos priežiūros ir plėtros programa</t>
  </si>
  <si>
    <t>7.</t>
  </si>
  <si>
    <t>Miesto infrastruktūros objektų priežiūros ir modernizavimo pograma</t>
  </si>
  <si>
    <t>Miesto kultūrinio savitumo puoselėjimo bei kultūrinių paslaugų gerinimo programa</t>
  </si>
  <si>
    <t>9.</t>
  </si>
  <si>
    <t>Jaunimo politikos plėtros programa</t>
  </si>
  <si>
    <t>10.</t>
  </si>
  <si>
    <t>11.</t>
  </si>
  <si>
    <t>12.</t>
  </si>
  <si>
    <t>13.</t>
  </si>
  <si>
    <t>Sveikatos apsaugos  programa</t>
  </si>
  <si>
    <t>14.</t>
  </si>
  <si>
    <t xml:space="preserve">Iš viso: </t>
  </si>
  <si>
    <t xml:space="preserve">Subalansuoto turizmo skatinimo ir vystymo programa </t>
  </si>
  <si>
    <t xml:space="preserve">Susisiekimo sistemos priežiūros ir plėtros programa </t>
  </si>
  <si>
    <t>Išlaidos turtui įsigyti</t>
  </si>
  <si>
    <t>Biudžetinė įstaiga „Klaipėdos paplūdimiai“</t>
  </si>
  <si>
    <t>Klaipėdos miesto savivaldybės tarybos</t>
  </si>
  <si>
    <t>Socialinės atskirties mažinimo programa (specialios tikslinės dotacijos valstybės kapitalo investicijų programoje numatytiems projektams finansuoti lėšos)</t>
  </si>
  <si>
    <t>Miesto kultūrinio savitumo puoselėjimo bei kultūrinių paslaugų gerinimo programa (dotacijos kultūros ir meno darbuotojų darbo užmokesčiui padidinti lėšos)</t>
  </si>
  <si>
    <t xml:space="preserve"> Klaipėdos miesto savivaldybės tarybos</t>
  </si>
  <si>
    <t xml:space="preserve"> 4 priedas</t>
  </si>
  <si>
    <t>Klaipėdos Gedminų progimnazija</t>
  </si>
  <si>
    <t>Klaipėdos suaugusiųjų gimnazija</t>
  </si>
  <si>
    <t xml:space="preserve">Klaipėdos lopšelis-darželis „Versmė“                                                   </t>
  </si>
  <si>
    <t xml:space="preserve">valstybės biudžeto specialių tikslinių dotacijų ir kitų dotacijų lėšos </t>
  </si>
  <si>
    <t>Įvykdyta</t>
  </si>
  <si>
    <t>iš jų</t>
  </si>
  <si>
    <t>Patikslin-tas planas</t>
  </si>
  <si>
    <t>iš jų darbo užmokesčiui</t>
  </si>
  <si>
    <t>Rezultatas (pasikeiti-mas +,-)</t>
  </si>
  <si>
    <t>Įvykdyta procen-tais</t>
  </si>
  <si>
    <t>Patiks-lintas planas</t>
  </si>
  <si>
    <t>1 priedas</t>
  </si>
  <si>
    <t>Patikslintas planas</t>
  </si>
  <si>
    <t>Plano įvykdymas</t>
  </si>
  <si>
    <t>Rezultatas (pasikeitimas +, -)</t>
  </si>
  <si>
    <t>Įvykdyta procentais</t>
  </si>
  <si>
    <t xml:space="preserve">     Klaipėdos miesto savivaldybės tarybos</t>
  </si>
  <si>
    <t xml:space="preserve">     2 priedas</t>
  </si>
  <si>
    <t xml:space="preserve">Patikslintas planas </t>
  </si>
  <si>
    <t xml:space="preserve"> </t>
  </si>
  <si>
    <t xml:space="preserve">Įmokos už išlaikymą švietimo, socialinės apsaugos ir kitose įstaigose </t>
  </si>
  <si>
    <t xml:space="preserve">Pajamos už prekes ir paslaugas </t>
  </si>
  <si>
    <t xml:space="preserve">Pajamos už patalpų nuomą </t>
  </si>
  <si>
    <t>Rezultatas (pasikeiti-mas +, -)</t>
  </si>
  <si>
    <t>5</t>
  </si>
  <si>
    <t>7</t>
  </si>
  <si>
    <t>8</t>
  </si>
  <si>
    <t>14</t>
  </si>
  <si>
    <t>4.</t>
  </si>
  <si>
    <t>Rezultatas (pasikei-timas +,-)</t>
  </si>
  <si>
    <t xml:space="preserve">                  Klaipėdos miesto savivaldybės tarybos</t>
  </si>
  <si>
    <t xml:space="preserve">                  3 priedas</t>
  </si>
  <si>
    <t xml:space="preserve"> KLAIPĖDOS MIESTO SAVIVALDYBĖS 2015 METŲ BIUDŽETO ĮVYKDYMO ATASKAITA</t>
  </si>
  <si>
    <t>Laisvas apyvartinių lėšų likutis 2015 m. sausio 1 d.</t>
  </si>
  <si>
    <t>DOTACIJOS (10+13+53)</t>
  </si>
  <si>
    <t>Specialios tikslinės dotacijos (14+35+36+40+41+42+43+44+45+46)</t>
  </si>
  <si>
    <t>Valstybinėms (valstybės perduotoms savivaldybėms) funkcijoms atlikti (15+...+34)</t>
  </si>
  <si>
    <t>Piliečių prašymams atkurti nuosavybės teises į išlikusį nekilnojamąjį turtą nagrinėti ir sprendimams dėl nuosavybės teisių atkūrimo priimti</t>
  </si>
  <si>
    <t>Būsto nuomos ar išperkamosios būsto nuomos mokesčių dalies kompensacijos</t>
  </si>
  <si>
    <t>Savivaldybėms perduotoms įstaigoms išlaikyti (37+38+39)</t>
  </si>
  <si>
    <t>Pasaulinės didžiųjų burlaivių regatos renginių organizavimo išlaidoms iš dalies padengti</t>
  </si>
  <si>
    <t>Savivaldybių išlaidoms, patirtoms pritaikant informacines sistemas euro įvedimui, kompensuoti</t>
  </si>
  <si>
    <t>Valstybės finansinei paramai parvežant į Lietuvą užsienyje mirusių (žuvusių) Lietuvos Respublikos piliečių palaikus teikti, t. y. kompensuoti savivaldybėms išmokėtas sumas</t>
  </si>
  <si>
    <t>Savivaldybėms vietinės reikšmės keliams (gatvėms) tiesti, taisyti, prižiūrėti ir saugaus eismo sąlygoms užtikrinti (einamiesiems tikslams finansuoti)</t>
  </si>
  <si>
    <t>Krantotvarkos programos priemonėms įgyvendinti ir aplinkos teršimo šaltiniams pašalinti</t>
  </si>
  <si>
    <t>Valstybės kapitalo investicijų programoje numatytiems projektams finansuoti (47+...+52)</t>
  </si>
  <si>
    <t>VšĮ Klaipėdos universitetinės ligoninės centrinio korpuso operacinės rekonstrukcija, Liepojos g. 41, Klaipėda</t>
  </si>
  <si>
    <t>VšĮ Klaipėdos universitetinės ligoninės dezinfekcijos sterilizacijos proceso modernizavimas, Liepojos g. 39, Klaipėda</t>
  </si>
  <si>
    <t>Politinių kalinių ir tremtinių bei jų šeimų sugrįžimo į Lietuvą ir jų aprūpinimo programos įgyvendinimas savivaldybėse</t>
  </si>
  <si>
    <t>Klaipėdos „Vėtrungės“ gimnazijos sporto aikštyno atnaujinimas</t>
  </si>
  <si>
    <t xml:space="preserve">Savivaldybėms vietinės reikšmės keliams (gatvėms) tiesti, taisyti, prižiūrėti ir saugaus eismo sąlygoms užtikrinti </t>
  </si>
  <si>
    <t>Kitos dotacijos ir lėšos iš kitų valdymo lygių (54+55+56)</t>
  </si>
  <si>
    <t>Dotacija išlaidoms, susijusioms su pedagoginių darbuotojų skaičiaus optimizavimu, apmokėti</t>
  </si>
  <si>
    <t xml:space="preserve">Dotacija kultūros ir meno darbuotojų darbo užmokesčiui padidinti </t>
  </si>
  <si>
    <t>Dotacija minimaliajai mėnesinei algai padidinti</t>
  </si>
  <si>
    <t>KITOS PAJAMOS (58+...+67)</t>
  </si>
  <si>
    <t>MATERIALIOJO IR NEMATERIALIOJO TURTO REALIZAVIMO PAJAMOS (69)</t>
  </si>
  <si>
    <t>Ilgalaikio materialiojo turto realizavimo pajamos (70+71)</t>
  </si>
  <si>
    <t>2016 m.                        d. sprendimo Nr. T2-</t>
  </si>
  <si>
    <t>Palūkanos už depozitus ir paskolas</t>
  </si>
  <si>
    <t>Pastatai ir statiniai, kitas ilgalaikis materialusis turtas, atsargos</t>
  </si>
  <si>
    <t>Finansinio turto paradavimo pajamos (73)</t>
  </si>
  <si>
    <t>Akcijos (parduotos) ir kitas nuosavas kapitalas</t>
  </si>
  <si>
    <t>Pajamos iš viso (1+9+57+68+72)</t>
  </si>
  <si>
    <t>Iš viso (74+75):</t>
  </si>
  <si>
    <t>Būsto nuomos ar išperkamosios būsto nuomos mokesčių dalies kompensacijoms administruoti</t>
  </si>
  <si>
    <t>Savivaldybės valdymo  programa (specialios tikslinės dotacijos savivaldybėms vietinės reikšmės keliams (gatvėms) tiesti, taisyti, prižiūrėti ir saugaus eismo sąlygoms užtikrinti lėšos)</t>
  </si>
  <si>
    <t>Savivaldybės valdymo  programa (specialios tikslinės dotacijos savivaldybių išlaidoms, patirtoms pritaikant informacines sistemas euro įvedimui, kompensuoti lėšos)</t>
  </si>
  <si>
    <t>Savivaldybės valdymo  programa (dotacijos minimaliajai mėnesinei algai padidinti lėšos)</t>
  </si>
  <si>
    <t>Subalansuoto turizmo skatinimo ir vystymo programa (specialios tikslinės dotacijos pasaulinės didžiųjų burlaivių regatos renginių organizavimo išlaidoms iš dalies padengti lėšos)</t>
  </si>
  <si>
    <t>Susisiekimo sistemos priežiūros ir plėtros programa (specialios tikslinės dotacijos savivaldybėms vietinės reikšmės keliams (gatvėms) tiesti, taisyti, prižiūrėti ir saugaus eismo sąlygoms užtikrinti lėšos)</t>
  </si>
  <si>
    <t xml:space="preserve">Kūno kultūros ir sporto plėtros programa (paskolų lėšos) </t>
  </si>
  <si>
    <t>Aplinkos apsaugos programa (specialios tikslinės dotacijos krantotvarkos programos priemonėms įgyvendinti ir aplinkos teršimo šaltiniams pašalinti lėšos)</t>
  </si>
  <si>
    <t>Miesto infrastruktūros objektų priežiūros ir modernizavimo programa (dotacijos minimaliajai mėnesinei algai padidinti lėšos)</t>
  </si>
  <si>
    <t>Miesto kultūrinio savitumo puoselėjimo bei kultūrinių paslaugų gerinimo programa (dotacijos  minimaliajai mėnesinei algai padidinti lėšos)</t>
  </si>
  <si>
    <t>Ugdymo proceso užtikrinimo programa          (dotacijos lėšos išlaidoms, susijusioms su pedagoginių darbuotojų skaičiaus optimizavimu, apmokėti)</t>
  </si>
  <si>
    <t>Ugdymo proceso užtikrinimo programa (dotacijos minimaliajai mėnesinei algai padidinti lėšos)</t>
  </si>
  <si>
    <t>Kūno kultūros ir sporto plėtros programa (dotacijos  minimaliajai mėnesinei algai padidinti lėšos)</t>
  </si>
  <si>
    <t>Socialinės atskirties mažinimo programa (specialios tikslinės dotacijos valstybės finansinei paramai parvežant į Lietuvą užsienyje mirusių (žuvusių) Lietuvos Respublikos piliečių palaikus teikti lėšos)</t>
  </si>
  <si>
    <t>Socialinės atskirties mažinimo programa (dotacijos  minimaliajai mėnesinei algai padidinti lėšos)</t>
  </si>
  <si>
    <t>Sveikatos apsaugos programa  (savivaldybės biudžeto lėšos)</t>
  </si>
  <si>
    <t>Sveikatos apsaugos programa  (asignavimų valdytojo pajamų įmokos)</t>
  </si>
  <si>
    <t xml:space="preserve">                  2016 m.                  d. sprendimo Nr. T2-</t>
  </si>
  <si>
    <t>KLAIPĖDOS MIESTO SAVIVALDYBĖS 2015 METŲ BIUDŽETO ASIGNAVIMŲ PANAUDOJIMAS INVESTICIJŲ PROJEKTAMS FINANSUOTI PAGAL PROGRAMAS IŠ PASKOLŲ LĖŠŲ</t>
  </si>
  <si>
    <t>Savivaldybės valdymo programa</t>
  </si>
  <si>
    <t>Eur</t>
  </si>
  <si>
    <t>Rezultatas (pasikeitimas +,-)</t>
  </si>
  <si>
    <t>8.</t>
  </si>
  <si>
    <t xml:space="preserve"> 2016 m.                  d. sprendimo Nr. T2-</t>
  </si>
  <si>
    <t xml:space="preserve">     2016 m.                           d. sprendimo Nr. T2-</t>
  </si>
  <si>
    <t>KLAIPĖDOS MIESTO SAVIVALDYBĖS 2015 METŲ BIUDŽETO ASIGNAVIMŲ PANAUDOJIMAS PAGAL PROGRAMAS</t>
  </si>
  <si>
    <t>2015 METŲ BIUDŽETINIŲ ĮSTAIGŲ PAJAMŲ ĮMOKŲ Į SAVIVALDYBĖS BIUDŽETĄ PAGAL ASIGNAVIMŲ VALDYTOJUS VYKDYMO ATASKAITA</t>
  </si>
  <si>
    <t>Klaipėdos Ievos Simonaitytės mokykla</t>
  </si>
  <si>
    <t>47.</t>
  </si>
  <si>
    <t>48.</t>
  </si>
  <si>
    <t>49.</t>
  </si>
  <si>
    <t>50.</t>
  </si>
  <si>
    <t>51.</t>
  </si>
  <si>
    <t>52.</t>
  </si>
  <si>
    <t>Klaipėdos lopšelis-darželis „Inkarėlis“</t>
  </si>
  <si>
    <t>53.</t>
  </si>
  <si>
    <t>54.</t>
  </si>
  <si>
    <t>55.</t>
  </si>
  <si>
    <t>Klaipėdos  lopšelis-darželis „Vyturėlis“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</si>
  <si>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</si>
  <si>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</si>
  <si>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</si>
  <si>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</si>
  <si>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</si>
  <si>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</si>
  <si>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</si>
  <si>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</si>
  <si>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</si>
  <si>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</si>
  <si>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</si>
  <si>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</si>
  <si>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</si>
  <si>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</si>
  <si>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</si>
  <si>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</si>
  <si>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</si>
  <si>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</si>
  <si>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</si>
  <si>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</si>
  <si>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</si>
  <si>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</si>
  <si>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</si>
  <si>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</si>
  <si>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</si>
  <si>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</si>
  <si>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</si>
  <si>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</si>
  <si>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</si>
  <si>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</si>
  <si>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</si>
  <si>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</si>
  <si>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</si>
  <si>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</si>
  <si>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</si>
  <si>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</si>
  <si>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</si>
  <si>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</si>
  <si>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</si>
  <si>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</si>
  <si>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</si>
  <si>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</si>
  <si>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</si>
  <si>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</si>
  <si>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</si>
  <si>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</si>
  <si>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</si>
  <si>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</si>
  <si>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</si>
  <si>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</si>
  <si>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</si>
  <si>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</si>
  <si>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</si>
  <si>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</si>
  <si>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</si>
  <si>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</si>
  <si>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</si>
  <si>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</si>
  <si>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</si>
  <si>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</si>
  <si>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</si>
  <si>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Klaipėdos socialinių paslaugų centras  „Danė“</t>
  </si>
  <si>
    <t>117.</t>
  </si>
  <si>
    <t>118.</t>
  </si>
  <si>
    <t>Klaipėdos sutrikusio vystymosi kūdikių namai</t>
  </si>
  <si>
    <t>119.</t>
  </si>
  <si>
    <t>Klaipėdos visuomenės sveikatos biuras</t>
  </si>
  <si>
    <t>120.</t>
  </si>
  <si>
    <t>Įvykdyta procentais (kartais)</t>
  </si>
  <si>
    <t>19,4 karto</t>
  </si>
  <si>
    <t>2,6 karto</t>
  </si>
  <si>
    <t>5,1 karto</t>
  </si>
  <si>
    <t>5,4 karto</t>
  </si>
  <si>
    <t>4,7 karto</t>
  </si>
  <si>
    <t>7,8 karto</t>
  </si>
  <si>
    <t xml:space="preserve">                                                                                                                                                                                     Eur</t>
  </si>
  <si>
    <r>
      <t>Savivaldybės valdymo  programa</t>
    </r>
    <r>
      <rPr>
        <sz val="10"/>
        <rFont val="Times New Roman"/>
        <family val="1"/>
        <charset val="186"/>
      </rPr>
      <t xml:space="preserve"> (savivaldybės biudžeto lėšos)</t>
    </r>
  </si>
  <si>
    <r>
      <t xml:space="preserve">Miesto urbanistinio planavimo programa </t>
    </r>
    <r>
      <rPr>
        <sz val="10"/>
        <rFont val="Times New Roman"/>
        <family val="1"/>
        <charset val="186"/>
      </rPr>
      <t xml:space="preserve">(savivaldybės biudžeto lėšos) </t>
    </r>
  </si>
  <si>
    <r>
      <rPr>
        <b/>
        <sz val="10"/>
        <rFont val="Times New Roman"/>
        <family val="1"/>
        <charset val="186"/>
      </rPr>
      <t>Susisiekimo sistemos priežiūros ir plėtros programa</t>
    </r>
    <r>
      <rPr>
        <sz val="10"/>
        <rFont val="Times New Roman"/>
        <family val="1"/>
        <charset val="186"/>
      </rPr>
      <t xml:space="preserve"> (savivaldybės biudžeto lėšos)</t>
    </r>
  </si>
  <si>
    <r>
      <rPr>
        <b/>
        <sz val="10"/>
        <rFont val="Times New Roman"/>
        <family val="1"/>
        <charset val="186"/>
      </rPr>
      <t>Miesto infrastruktūros objektų priežiūros ir modernizavimo programa</t>
    </r>
    <r>
      <rPr>
        <sz val="10"/>
        <rFont val="Times New Roman"/>
        <family val="1"/>
        <charset val="186"/>
      </rPr>
      <t xml:space="preserve"> (savivaldybės biudžeto lėšos)</t>
    </r>
  </si>
  <si>
    <r>
      <t>Jaunimo politikos plėtros programa</t>
    </r>
    <r>
      <rPr>
        <sz val="10"/>
        <rFont val="Times New Roman"/>
        <family val="1"/>
        <charset val="186"/>
      </rPr>
      <t xml:space="preserve"> (savivaldybės biudžeto lėšos)</t>
    </r>
  </si>
  <si>
    <r>
      <t>Subalansuoto turizmo skatinimo ir vystymo programa</t>
    </r>
    <r>
      <rPr>
        <sz val="10"/>
        <rFont val="Times New Roman"/>
        <family val="1"/>
        <charset val="186"/>
      </rPr>
      <t xml:space="preserve"> </t>
    </r>
  </si>
  <si>
    <r>
      <rPr>
        <sz val="10"/>
        <rFont val="Times New Roman"/>
        <family val="1"/>
        <charset val="186"/>
      </rPr>
      <t>Savivaldybės valdymo  programa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(specialios tikslinės dotacijos valstybinėms (valstybės perduotoms savivaldybėms) funkcijoms atlikti lėšos)</t>
    </r>
  </si>
  <si>
    <r>
      <t>Susisiekimo sistemos priežiūros ir plėtros programa</t>
    </r>
    <r>
      <rPr>
        <sz val="10"/>
        <rFont val="Times New Roman"/>
        <family val="1"/>
        <charset val="186"/>
      </rPr>
      <t xml:space="preserve"> </t>
    </r>
  </si>
  <si>
    <r>
      <t>Miesto infrastruktūros objektų priežiūros ir modernizavimo programa</t>
    </r>
    <r>
      <rPr>
        <sz val="10"/>
        <rFont val="Times New Roman"/>
        <family val="1"/>
        <charset val="186"/>
      </rPr>
      <t xml:space="preserve"> (savivaldybės biudžeto lėšos)</t>
    </r>
  </si>
  <si>
    <r>
      <t xml:space="preserve">Miesto kultūrinio savitumo puoselėjimo bei kultūrinių paslaugų gerinimo programa </t>
    </r>
    <r>
      <rPr>
        <sz val="10"/>
        <rFont val="Times New Roman"/>
        <family val="1"/>
        <charset val="186"/>
      </rPr>
      <t>(savivaldybės biudžeto lėšos)</t>
    </r>
  </si>
  <si>
    <r>
      <t xml:space="preserve">Sveikatos apsaugos programa </t>
    </r>
    <r>
      <rPr>
        <sz val="10"/>
        <rFont val="Times New Roman"/>
        <family val="1"/>
        <charset val="186"/>
      </rPr>
      <t>(specialios tikslinės dotacijos valstybės kapitalo investicijų programoje numatytiems projektams finansuoti lėšos)</t>
    </r>
  </si>
  <si>
    <r>
      <t xml:space="preserve">Kūno kultūros ir sporto plėtros programa </t>
    </r>
    <r>
      <rPr>
        <sz val="10"/>
        <rFont val="Times New Roman"/>
        <family val="1"/>
        <charset val="186"/>
      </rPr>
      <t>(savivaldybės biudžeto lėšos)</t>
    </r>
  </si>
  <si>
    <r>
      <t xml:space="preserve">Socialinės atskirties mažinimo programa </t>
    </r>
    <r>
      <rPr>
        <sz val="10"/>
        <rFont val="Times New Roman"/>
        <family val="1"/>
        <charset val="186"/>
      </rPr>
      <t>(savivaldybės biudžeto lėšos)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</si>
</sst>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General\."/>
    <numFmt numFmtId="166" formatCode="#,##0.0"/>
  </numFmts>
  <fonts count="15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b/>
      <sz val="10"/>
      <name val="Arial"/>
      <family val="2"/>
      <charset val="186"/>
    </font>
    <font>
      <sz val="12"/>
      <name val="Arial"/>
      <family val="2"/>
      <charset val="186"/>
    </font>
    <font>
      <sz val="10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sz val="11"/>
      <name val="Times New Roman"/>
      <family val="1"/>
    </font>
    <font>
      <b/>
      <sz val="10"/>
      <name val="Times New Roman"/>
      <family val="1"/>
      <charset val="186"/>
    </font>
    <font>
      <sz val="10"/>
      <color indexed="8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7" fillId="0" borderId="0"/>
    <xf numFmtId="0" fontId="1" fillId="0" borderId="0"/>
  </cellStyleXfs>
  <cellXfs count="150">
    <xf numFmtId="0" fontId="0" fillId="0" borderId="0" xfId="0"/>
    <xf numFmtId="0" fontId="2" fillId="0" borderId="0" xfId="1" applyFont="1"/>
    <xf numFmtId="0" fontId="1" fillId="0" borderId="0" xfId="1"/>
    <xf numFmtId="0" fontId="4" fillId="0" borderId="0" xfId="1" applyFont="1" applyAlignment="1"/>
    <xf numFmtId="0" fontId="4" fillId="0" borderId="0" xfId="1" applyFont="1"/>
    <xf numFmtId="0" fontId="4" fillId="0" borderId="0" xfId="1" applyFont="1" applyAlignment="1">
      <alignment wrapText="1"/>
    </xf>
    <xf numFmtId="49" fontId="2" fillId="0" borderId="2" xfId="3" applyNumberFormat="1" applyFont="1" applyFill="1" applyBorder="1" applyAlignment="1" applyProtection="1">
      <alignment horizontal="center" wrapText="1"/>
      <protection locked="0"/>
    </xf>
    <xf numFmtId="165" fontId="2" fillId="0" borderId="2" xfId="3" applyNumberFormat="1" applyFont="1" applyFill="1" applyBorder="1" applyAlignment="1" applyProtection="1">
      <alignment horizontal="center" vertical="center"/>
      <protection hidden="1"/>
    </xf>
    <xf numFmtId="49" fontId="4" fillId="0" borderId="2" xfId="3" applyNumberFormat="1" applyFont="1" applyFill="1" applyBorder="1" applyAlignment="1" applyProtection="1">
      <alignment horizontal="left" wrapText="1"/>
      <protection hidden="1"/>
    </xf>
    <xf numFmtId="0" fontId="5" fillId="0" borderId="0" xfId="1" applyFont="1"/>
    <xf numFmtId="0" fontId="2" fillId="0" borderId="2" xfId="1" applyFont="1" applyFill="1" applyBorder="1" applyAlignment="1">
      <alignment horizontal="left" wrapText="1"/>
    </xf>
    <xf numFmtId="0" fontId="1" fillId="0" borderId="0" xfId="1" applyFill="1"/>
    <xf numFmtId="0" fontId="4" fillId="0" borderId="2" xfId="1" applyFont="1" applyFill="1" applyBorder="1" applyAlignment="1">
      <alignment horizontal="left" wrapText="1"/>
    </xf>
    <xf numFmtId="0" fontId="2" fillId="0" borderId="0" xfId="1" applyFont="1" applyFill="1"/>
    <xf numFmtId="0" fontId="2" fillId="0" borderId="0" xfId="0" applyFont="1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justify" vertical="justify"/>
    </xf>
    <xf numFmtId="0" fontId="2" fillId="0" borderId="2" xfId="1" applyFont="1" applyBorder="1" applyAlignment="1">
      <alignment horizontal="center" vertical="center" wrapText="1"/>
    </xf>
    <xf numFmtId="0" fontId="1" fillId="0" borderId="0" xfId="1" applyFont="1"/>
    <xf numFmtId="165" fontId="2" fillId="0" borderId="2" xfId="1" applyNumberFormat="1" applyFont="1" applyBorder="1" applyAlignment="1">
      <alignment horizontal="center"/>
    </xf>
    <xf numFmtId="0" fontId="4" fillId="0" borderId="2" xfId="1" applyFont="1" applyBorder="1" applyAlignment="1">
      <alignment wrapText="1"/>
    </xf>
    <xf numFmtId="0" fontId="2" fillId="0" borderId="2" xfId="1" applyFont="1" applyBorder="1" applyAlignment="1">
      <alignment wrapText="1"/>
    </xf>
    <xf numFmtId="0" fontId="4" fillId="0" borderId="2" xfId="1" applyFont="1" applyFill="1" applyBorder="1" applyAlignment="1">
      <alignment wrapText="1"/>
    </xf>
    <xf numFmtId="0" fontId="2" fillId="0" borderId="2" xfId="1" applyFont="1" applyFill="1" applyBorder="1" applyAlignment="1">
      <alignment wrapText="1"/>
    </xf>
    <xf numFmtId="0" fontId="6" fillId="0" borderId="0" xfId="1" applyFont="1" applyAlignment="1">
      <alignment horizontal="center"/>
    </xf>
    <xf numFmtId="0" fontId="1" fillId="0" borderId="1" xfId="1" applyBorder="1"/>
    <xf numFmtId="164" fontId="2" fillId="2" borderId="2" xfId="1" applyNumberFormat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/>
    </xf>
    <xf numFmtId="165" fontId="2" fillId="0" borderId="2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5" fillId="0" borderId="0" xfId="0" applyFont="1"/>
    <xf numFmtId="0" fontId="6" fillId="0" borderId="0" xfId="0" applyFont="1" applyAlignment="1">
      <alignment horizontal="center"/>
    </xf>
    <xf numFmtId="0" fontId="0" fillId="0" borderId="1" xfId="0" applyBorder="1"/>
    <xf numFmtId="0" fontId="4" fillId="0" borderId="2" xfId="1" applyFont="1" applyBorder="1"/>
    <xf numFmtId="164" fontId="2" fillId="0" borderId="2" xfId="1" applyNumberFormat="1" applyFont="1" applyFill="1" applyBorder="1"/>
    <xf numFmtId="164" fontId="4" fillId="0" borderId="2" xfId="1" applyNumberFormat="1" applyFont="1" applyFill="1" applyBorder="1"/>
    <xf numFmtId="164" fontId="2" fillId="0" borderId="2" xfId="0" applyNumberFormat="1" applyFont="1" applyFill="1" applyBorder="1" applyAlignment="1">
      <alignment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164" fontId="4" fillId="0" borderId="2" xfId="0" applyNumberFormat="1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left" wrapText="1"/>
    </xf>
    <xf numFmtId="0" fontId="2" fillId="0" borderId="0" xfId="1" applyFont="1" applyAlignment="1">
      <alignment horizontal="left" vertical="justify"/>
    </xf>
    <xf numFmtId="0" fontId="2" fillId="0" borderId="2" xfId="1" applyFont="1" applyFill="1" applyBorder="1" applyAlignment="1">
      <alignment horizontal="center" wrapText="1"/>
    </xf>
    <xf numFmtId="0" fontId="2" fillId="0" borderId="2" xfId="1" applyFont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2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2" fillId="0" borderId="2" xfId="1" applyFont="1" applyFill="1" applyBorder="1" applyAlignment="1">
      <alignment horizontal="center"/>
    </xf>
    <xf numFmtId="0" fontId="2" fillId="0" borderId="1" xfId="1" applyFont="1" applyBorder="1"/>
    <xf numFmtId="0" fontId="4" fillId="0" borderId="1" xfId="1" applyFont="1" applyBorder="1" applyAlignment="1"/>
    <xf numFmtId="0" fontId="8" fillId="0" borderId="0" xfId="0" applyFont="1"/>
    <xf numFmtId="0" fontId="8" fillId="0" borderId="0" xfId="0" applyFont="1" applyAlignment="1">
      <alignment wrapText="1"/>
    </xf>
    <xf numFmtId="0" fontId="4" fillId="0" borderId="0" xfId="0" applyFont="1"/>
    <xf numFmtId="0" fontId="4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  <xf numFmtId="3" fontId="4" fillId="0" borderId="2" xfId="1" applyNumberFormat="1" applyFont="1" applyFill="1" applyBorder="1" applyAlignment="1">
      <alignment horizontal="right" wrapText="1"/>
    </xf>
    <xf numFmtId="3" fontId="2" fillId="0" borderId="2" xfId="1" applyNumberFormat="1" applyFont="1" applyFill="1" applyBorder="1" applyAlignment="1">
      <alignment horizontal="right" wrapText="1"/>
    </xf>
    <xf numFmtId="3" fontId="2" fillId="0" borderId="2" xfId="1" applyNumberFormat="1" applyFont="1" applyFill="1" applyBorder="1"/>
    <xf numFmtId="3" fontId="4" fillId="0" borderId="2" xfId="1" applyNumberFormat="1" applyFont="1" applyFill="1" applyBorder="1"/>
    <xf numFmtId="3" fontId="1" fillId="0" borderId="0" xfId="1" applyNumberFormat="1"/>
    <xf numFmtId="0" fontId="2" fillId="0" borderId="2" xfId="1" applyFont="1" applyFill="1" applyBorder="1" applyAlignment="1">
      <alignment horizontal="center" wrapText="1"/>
    </xf>
    <xf numFmtId="3" fontId="2" fillId="0" borderId="2" xfId="1" applyNumberFormat="1" applyFont="1" applyFill="1" applyBorder="1" applyAlignment="1">
      <alignment horizontal="right"/>
    </xf>
    <xf numFmtId="3" fontId="4" fillId="0" borderId="2" xfId="1" applyNumberFormat="1" applyFont="1" applyFill="1" applyBorder="1" applyAlignment="1">
      <alignment horizontal="right"/>
    </xf>
    <xf numFmtId="0" fontId="2" fillId="0" borderId="2" xfId="1" applyFont="1" applyFill="1" applyBorder="1" applyAlignment="1">
      <alignment horizontal="center" vertical="center" wrapText="1"/>
    </xf>
    <xf numFmtId="0" fontId="8" fillId="0" borderId="2" xfId="0" applyFont="1" applyFill="1" applyBorder="1"/>
    <xf numFmtId="164" fontId="8" fillId="0" borderId="2" xfId="0" applyNumberFormat="1" applyFont="1" applyFill="1" applyBorder="1"/>
    <xf numFmtId="164" fontId="9" fillId="0" borderId="2" xfId="0" applyNumberFormat="1" applyFont="1" applyFill="1" applyBorder="1"/>
    <xf numFmtId="49" fontId="2" fillId="0" borderId="2" xfId="3" applyNumberFormat="1" applyFont="1" applyFill="1" applyBorder="1" applyAlignment="1" applyProtection="1">
      <alignment horizontal="center" vertical="center" wrapText="1"/>
      <protection hidden="1"/>
    </xf>
    <xf numFmtId="164" fontId="12" fillId="0" borderId="2" xfId="3" applyNumberFormat="1" applyFont="1" applyFill="1" applyBorder="1" applyAlignment="1" applyProtection="1">
      <alignment horizontal="center" vertical="center" wrapText="1"/>
      <protection hidden="1"/>
    </xf>
    <xf numFmtId="3" fontId="4" fillId="0" borderId="2" xfId="3" applyNumberFormat="1" applyFont="1" applyFill="1" applyBorder="1" applyAlignment="1" applyProtection="1">
      <alignment horizontal="right" wrapText="1"/>
      <protection hidden="1"/>
    </xf>
    <xf numFmtId="49" fontId="2" fillId="0" borderId="7" xfId="3" applyNumberFormat="1" applyFont="1" applyFill="1" applyBorder="1" applyAlignment="1" applyProtection="1">
      <alignment horizontal="left" wrapText="1"/>
      <protection hidden="1"/>
    </xf>
    <xf numFmtId="3" fontId="2" fillId="0" borderId="2" xfId="3" applyNumberFormat="1" applyFont="1" applyFill="1" applyBorder="1" applyAlignment="1" applyProtection="1">
      <alignment horizontal="right" wrapText="1"/>
      <protection hidden="1"/>
    </xf>
    <xf numFmtId="0" fontId="2" fillId="0" borderId="7" xfId="1" applyFont="1" applyFill="1" applyBorder="1" applyAlignment="1">
      <alignment horizontal="left" wrapText="1"/>
    </xf>
    <xf numFmtId="49" fontId="2" fillId="0" borderId="7" xfId="1" applyNumberFormat="1" applyFont="1" applyFill="1" applyBorder="1" applyAlignment="1">
      <alignment horizontal="left" wrapText="1"/>
    </xf>
    <xf numFmtId="3" fontId="2" fillId="0" borderId="2" xfId="3" applyNumberFormat="1" applyFont="1" applyFill="1" applyBorder="1" applyAlignment="1" applyProtection="1">
      <alignment horizontal="right" vertical="center"/>
      <protection hidden="1"/>
    </xf>
    <xf numFmtId="3" fontId="2" fillId="0" borderId="2" xfId="3" applyNumberFormat="1" applyFont="1" applyFill="1" applyBorder="1" applyAlignment="1" applyProtection="1">
      <alignment horizontal="right"/>
      <protection hidden="1"/>
    </xf>
    <xf numFmtId="3" fontId="2" fillId="0" borderId="0" xfId="1" applyNumberFormat="1" applyFont="1" applyFill="1" applyBorder="1" applyAlignment="1">
      <alignment horizontal="right"/>
    </xf>
    <xf numFmtId="3" fontId="1" fillId="0" borderId="0" xfId="1" applyNumberFormat="1" applyFill="1"/>
    <xf numFmtId="3" fontId="2" fillId="0" borderId="2" xfId="1" applyNumberFormat="1" applyFont="1" applyBorder="1"/>
    <xf numFmtId="3" fontId="4" fillId="0" borderId="2" xfId="1" applyNumberFormat="1" applyFont="1" applyBorder="1"/>
    <xf numFmtId="166" fontId="2" fillId="0" borderId="2" xfId="1" applyNumberFormat="1" applyFont="1" applyBorder="1"/>
    <xf numFmtId="166" fontId="4" fillId="0" borderId="2" xfId="1" applyNumberFormat="1" applyFont="1" applyBorder="1"/>
    <xf numFmtId="3" fontId="8" fillId="0" borderId="2" xfId="0" applyNumberFormat="1" applyFont="1" applyFill="1" applyBorder="1"/>
    <xf numFmtId="3" fontId="2" fillId="0" borderId="2" xfId="0" applyNumberFormat="1" applyFont="1" applyFill="1" applyBorder="1"/>
    <xf numFmtId="3" fontId="4" fillId="0" borderId="2" xfId="0" applyNumberFormat="1" applyFont="1" applyFill="1" applyBorder="1"/>
    <xf numFmtId="164" fontId="2" fillId="0" borderId="2" xfId="1" applyNumberFormat="1" applyFont="1" applyFill="1" applyBorder="1" applyAlignment="1">
      <alignment horizontal="right"/>
    </xf>
    <xf numFmtId="3" fontId="2" fillId="0" borderId="3" xfId="0" applyNumberFormat="1" applyFont="1" applyFill="1" applyBorder="1" applyAlignment="1" applyProtection="1">
      <alignment horizontal="right" vertical="center"/>
      <protection locked="0"/>
    </xf>
    <xf numFmtId="164" fontId="4" fillId="0" borderId="2" xfId="1" applyNumberFormat="1" applyFont="1" applyFill="1" applyBorder="1" applyAlignment="1">
      <alignment horizontal="right"/>
    </xf>
    <xf numFmtId="0" fontId="6" fillId="0" borderId="0" xfId="1" applyFont="1" applyBorder="1" applyAlignment="1">
      <alignment horizontal="center"/>
    </xf>
    <xf numFmtId="0" fontId="1" fillId="0" borderId="0" xfId="1" applyBorder="1"/>
    <xf numFmtId="0" fontId="6" fillId="0" borderId="0" xfId="1" applyFont="1"/>
    <xf numFmtId="3" fontId="13" fillId="0" borderId="2" xfId="1" applyNumberFormat="1" applyFont="1" applyFill="1" applyBorder="1"/>
    <xf numFmtId="0" fontId="13" fillId="0" borderId="0" xfId="1" applyFont="1" applyAlignment="1">
      <alignment horizontal="left"/>
    </xf>
    <xf numFmtId="0" fontId="7" fillId="0" borderId="0" xfId="1" applyFont="1"/>
    <xf numFmtId="0" fontId="7" fillId="0" borderId="2" xfId="0" applyFont="1" applyFill="1" applyBorder="1" applyAlignment="1">
      <alignment wrapText="1"/>
    </xf>
    <xf numFmtId="0" fontId="7" fillId="0" borderId="2" xfId="1" applyFont="1" applyFill="1" applyBorder="1" applyAlignment="1">
      <alignment horizontal="center"/>
    </xf>
    <xf numFmtId="0" fontId="7" fillId="0" borderId="2" xfId="1" applyFont="1" applyFill="1" applyBorder="1" applyAlignment="1">
      <alignment horizontal="center" wrapText="1"/>
    </xf>
    <xf numFmtId="165" fontId="7" fillId="0" borderId="2" xfId="1" applyNumberFormat="1" applyFont="1" applyFill="1" applyBorder="1" applyAlignment="1">
      <alignment horizontal="center"/>
    </xf>
    <xf numFmtId="0" fontId="13" fillId="0" borderId="2" xfId="1" applyFont="1" applyFill="1" applyBorder="1" applyAlignment="1">
      <alignment horizontal="left" wrapText="1"/>
    </xf>
    <xf numFmtId="164" fontId="13" fillId="0" borderId="2" xfId="1" applyNumberFormat="1" applyFont="1" applyFill="1" applyBorder="1"/>
    <xf numFmtId="3" fontId="7" fillId="0" borderId="2" xfId="1" applyNumberFormat="1" applyFont="1" applyFill="1" applyBorder="1"/>
    <xf numFmtId="164" fontId="7" fillId="0" borderId="2" xfId="1" applyNumberFormat="1" applyFont="1" applyFill="1" applyBorder="1"/>
    <xf numFmtId="0" fontId="7" fillId="0" borderId="2" xfId="1" applyFont="1" applyFill="1" applyBorder="1" applyAlignment="1">
      <alignment horizontal="left" wrapText="1"/>
    </xf>
    <xf numFmtId="0" fontId="7" fillId="0" borderId="2" xfId="1" applyFont="1" applyFill="1" applyBorder="1"/>
    <xf numFmtId="0" fontId="7" fillId="0" borderId="2" xfId="1" applyFont="1" applyFill="1" applyBorder="1" applyAlignment="1">
      <alignment wrapText="1"/>
    </xf>
    <xf numFmtId="164" fontId="14" fillId="0" borderId="2" xfId="1" applyNumberFormat="1" applyFont="1" applyFill="1" applyBorder="1" applyAlignment="1">
      <alignment horizontal="left" wrapText="1"/>
    </xf>
    <xf numFmtId="164" fontId="7" fillId="0" borderId="2" xfId="1" applyNumberFormat="1" applyFont="1" applyFill="1" applyBorder="1" applyAlignment="1">
      <alignment horizontal="left" wrapText="1"/>
    </xf>
    <xf numFmtId="164" fontId="13" fillId="0" borderId="2" xfId="1" applyNumberFormat="1" applyFont="1" applyFill="1" applyBorder="1" applyAlignment="1">
      <alignment horizontal="left" wrapText="1"/>
    </xf>
    <xf numFmtId="0" fontId="13" fillId="0" borderId="2" xfId="1" applyFont="1" applyFill="1" applyBorder="1" applyAlignment="1">
      <alignment wrapText="1"/>
    </xf>
    <xf numFmtId="0" fontId="7" fillId="0" borderId="2" xfId="1" applyFont="1" applyFill="1" applyBorder="1" applyAlignment="1">
      <alignment horizontal="center" vertical="top" wrapText="1"/>
    </xf>
    <xf numFmtId="3" fontId="7" fillId="0" borderId="2" xfId="1" applyNumberFormat="1" applyFont="1" applyFill="1" applyBorder="1" applyAlignment="1"/>
    <xf numFmtId="1" fontId="7" fillId="0" borderId="2" xfId="1" applyNumberFormat="1" applyFont="1" applyFill="1" applyBorder="1"/>
    <xf numFmtId="0" fontId="1" fillId="0" borderId="0" xfId="1" applyFont="1" applyAlignment="1">
      <alignment horizontal="center"/>
    </xf>
    <xf numFmtId="0" fontId="2" fillId="0" borderId="0" xfId="1" applyFont="1" applyFill="1" applyBorder="1"/>
    <xf numFmtId="3" fontId="1" fillId="0" borderId="1" xfId="1" applyNumberFormat="1" applyBorder="1"/>
    <xf numFmtId="3" fontId="1" fillId="0" borderId="1" xfId="1" applyNumberFormat="1" applyFill="1" applyBorder="1"/>
    <xf numFmtId="0" fontId="2" fillId="0" borderId="0" xfId="1" applyFont="1" applyAlignment="1">
      <alignment horizontal="left" vertical="justify"/>
    </xf>
    <xf numFmtId="0" fontId="2" fillId="0" borderId="0" xfId="1" applyFont="1" applyAlignment="1">
      <alignment vertical="justify"/>
    </xf>
    <xf numFmtId="0" fontId="4" fillId="0" borderId="0" xfId="1" applyFont="1" applyAlignment="1">
      <alignment horizontal="center"/>
    </xf>
    <xf numFmtId="0" fontId="7" fillId="0" borderId="2" xfId="1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left" wrapText="1"/>
    </xf>
    <xf numFmtId="0" fontId="7" fillId="0" borderId="2" xfId="0" applyFont="1" applyFill="1" applyBorder="1" applyAlignment="1">
      <alignment horizontal="center"/>
    </xf>
    <xf numFmtId="0" fontId="2" fillId="0" borderId="2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2" fillId="0" borderId="2" xfId="1" applyFont="1" applyFill="1" applyBorder="1" applyAlignment="1">
      <alignment horizontal="center" wrapText="1"/>
    </xf>
    <xf numFmtId="164" fontId="2" fillId="0" borderId="2" xfId="0" applyNumberFormat="1" applyFont="1" applyFill="1" applyBorder="1" applyAlignment="1">
      <alignment horizontal="center" wrapText="1"/>
    </xf>
    <xf numFmtId="164" fontId="2" fillId="0" borderId="2" xfId="0" applyNumberFormat="1" applyFont="1" applyFill="1" applyBorder="1" applyAlignment="1">
      <alignment horizontal="left" wrapText="1"/>
    </xf>
    <xf numFmtId="164" fontId="2" fillId="0" borderId="2" xfId="0" applyNumberFormat="1" applyFont="1" applyFill="1" applyBorder="1" applyAlignment="1">
      <alignment horizontal="center"/>
    </xf>
    <xf numFmtId="0" fontId="2" fillId="0" borderId="2" xfId="1" applyFont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165" fontId="2" fillId="0" borderId="2" xfId="1" applyNumberFormat="1" applyFont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 wrapText="1"/>
    </xf>
    <xf numFmtId="0" fontId="2" fillId="0" borderId="2" xfId="1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wrapText="1"/>
    </xf>
    <xf numFmtId="49" fontId="2" fillId="0" borderId="2" xfId="3" applyNumberFormat="1" applyFont="1" applyFill="1" applyBorder="1" applyAlignment="1" applyProtection="1">
      <alignment horizontal="center" vertical="center" wrapText="1"/>
      <protection hidden="1"/>
    </xf>
    <xf numFmtId="164" fontId="2" fillId="0" borderId="2" xfId="3" applyNumberFormat="1" applyFont="1" applyFill="1" applyBorder="1" applyAlignment="1" applyProtection="1">
      <alignment horizontal="center" vertical="justify" wrapText="1"/>
      <protection hidden="1"/>
    </xf>
    <xf numFmtId="164" fontId="2" fillId="0" borderId="2" xfId="3" applyNumberFormat="1" applyFont="1" applyFill="1" applyBorder="1" applyAlignment="1" applyProtection="1">
      <alignment horizontal="center" vertical="center" wrapText="1"/>
      <protection hidden="1"/>
    </xf>
  </cellXfs>
  <cellStyles count="10">
    <cellStyle name="Įprastas" xfId="0" builtinId="0"/>
    <cellStyle name="Įprastas 2" xfId="1"/>
    <cellStyle name="Įprastas 3" xfId="2"/>
    <cellStyle name="Įprastas 3 2" xfId="7"/>
    <cellStyle name="Normal 2" xfId="4"/>
    <cellStyle name="Normal_adm_dir_rezervas_2005 2" xfId="8"/>
    <cellStyle name="Normal_SAVAPYSsssss" xfId="3"/>
    <cellStyle name="Paprastas_Dir.rez. atask.2008m" xfId="9"/>
    <cellStyle name="Procentai 2" xfId="5"/>
    <cellStyle name="Procentai 2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showZeros="0" workbookViewId="0">
      <pane xSplit="2" ySplit="9" topLeftCell="C10" activePane="bottomRight" state="frozen"/>
      <selection pane="topRight" activeCell="J1" sqref="J1"/>
      <selection pane="bottomLeft" activeCell="A10" sqref="A10"/>
      <selection pane="bottomRight" activeCell="K24" sqref="K24"/>
    </sheetView>
  </sheetViews>
  <sheetFormatPr defaultRowHeight="12.75" x14ac:dyDescent="0.2"/>
  <cols>
    <col min="1" max="1" width="9.140625" style="2"/>
    <col min="2" max="2" width="70.7109375" style="2" customWidth="1"/>
    <col min="3" max="3" width="13" style="2" customWidth="1"/>
    <col min="4" max="4" width="13.140625" style="2" customWidth="1"/>
    <col min="5" max="5" width="14" style="2" customWidth="1"/>
    <col min="6" max="6" width="12.85546875" style="2" customWidth="1"/>
    <col min="7" max="232" width="9.140625" style="2"/>
    <col min="233" max="233" width="70.7109375" style="2" customWidth="1"/>
    <col min="234" max="234" width="13" style="2" customWidth="1"/>
    <col min="235" max="235" width="11.28515625" style="2" customWidth="1"/>
    <col min="236" max="236" width="14" style="2" customWidth="1"/>
    <col min="237" max="237" width="12.85546875" style="2" customWidth="1"/>
    <col min="238" max="488" width="9.140625" style="2"/>
    <col min="489" max="489" width="70.7109375" style="2" customWidth="1"/>
    <col min="490" max="490" width="13" style="2" customWidth="1"/>
    <col min="491" max="491" width="11.28515625" style="2" customWidth="1"/>
    <col min="492" max="492" width="14" style="2" customWidth="1"/>
    <col min="493" max="493" width="12.85546875" style="2" customWidth="1"/>
    <col min="494" max="744" width="9.140625" style="2"/>
    <col min="745" max="745" width="70.7109375" style="2" customWidth="1"/>
    <col min="746" max="746" width="13" style="2" customWidth="1"/>
    <col min="747" max="747" width="11.28515625" style="2" customWidth="1"/>
    <col min="748" max="748" width="14" style="2" customWidth="1"/>
    <col min="749" max="749" width="12.85546875" style="2" customWidth="1"/>
    <col min="750" max="1000" width="9.140625" style="2"/>
    <col min="1001" max="1001" width="70.7109375" style="2" customWidth="1"/>
    <col min="1002" max="1002" width="13" style="2" customWidth="1"/>
    <col min="1003" max="1003" width="11.28515625" style="2" customWidth="1"/>
    <col min="1004" max="1004" width="14" style="2" customWidth="1"/>
    <col min="1005" max="1005" width="12.85546875" style="2" customWidth="1"/>
    <col min="1006" max="1256" width="9.140625" style="2"/>
    <col min="1257" max="1257" width="70.7109375" style="2" customWidth="1"/>
    <col min="1258" max="1258" width="13" style="2" customWidth="1"/>
    <col min="1259" max="1259" width="11.28515625" style="2" customWidth="1"/>
    <col min="1260" max="1260" width="14" style="2" customWidth="1"/>
    <col min="1261" max="1261" width="12.85546875" style="2" customWidth="1"/>
    <col min="1262" max="1512" width="9.140625" style="2"/>
    <col min="1513" max="1513" width="70.7109375" style="2" customWidth="1"/>
    <col min="1514" max="1514" width="13" style="2" customWidth="1"/>
    <col min="1515" max="1515" width="11.28515625" style="2" customWidth="1"/>
    <col min="1516" max="1516" width="14" style="2" customWidth="1"/>
    <col min="1517" max="1517" width="12.85546875" style="2" customWidth="1"/>
    <col min="1518" max="1768" width="9.140625" style="2"/>
    <col min="1769" max="1769" width="70.7109375" style="2" customWidth="1"/>
    <col min="1770" max="1770" width="13" style="2" customWidth="1"/>
    <col min="1771" max="1771" width="11.28515625" style="2" customWidth="1"/>
    <col min="1772" max="1772" width="14" style="2" customWidth="1"/>
    <col min="1773" max="1773" width="12.85546875" style="2" customWidth="1"/>
    <col min="1774" max="2024" width="9.140625" style="2"/>
    <col min="2025" max="2025" width="70.7109375" style="2" customWidth="1"/>
    <col min="2026" max="2026" width="13" style="2" customWidth="1"/>
    <col min="2027" max="2027" width="11.28515625" style="2" customWidth="1"/>
    <col min="2028" max="2028" width="14" style="2" customWidth="1"/>
    <col min="2029" max="2029" width="12.85546875" style="2" customWidth="1"/>
    <col min="2030" max="2280" width="9.140625" style="2"/>
    <col min="2281" max="2281" width="70.7109375" style="2" customWidth="1"/>
    <col min="2282" max="2282" width="13" style="2" customWidth="1"/>
    <col min="2283" max="2283" width="11.28515625" style="2" customWidth="1"/>
    <col min="2284" max="2284" width="14" style="2" customWidth="1"/>
    <col min="2285" max="2285" width="12.85546875" style="2" customWidth="1"/>
    <col min="2286" max="2536" width="9.140625" style="2"/>
    <col min="2537" max="2537" width="70.7109375" style="2" customWidth="1"/>
    <col min="2538" max="2538" width="13" style="2" customWidth="1"/>
    <col min="2539" max="2539" width="11.28515625" style="2" customWidth="1"/>
    <col min="2540" max="2540" width="14" style="2" customWidth="1"/>
    <col min="2541" max="2541" width="12.85546875" style="2" customWidth="1"/>
    <col min="2542" max="2792" width="9.140625" style="2"/>
    <col min="2793" max="2793" width="70.7109375" style="2" customWidth="1"/>
    <col min="2794" max="2794" width="13" style="2" customWidth="1"/>
    <col min="2795" max="2795" width="11.28515625" style="2" customWidth="1"/>
    <col min="2796" max="2796" width="14" style="2" customWidth="1"/>
    <col min="2797" max="2797" width="12.85546875" style="2" customWidth="1"/>
    <col min="2798" max="3048" width="9.140625" style="2"/>
    <col min="3049" max="3049" width="70.7109375" style="2" customWidth="1"/>
    <col min="3050" max="3050" width="13" style="2" customWidth="1"/>
    <col min="3051" max="3051" width="11.28515625" style="2" customWidth="1"/>
    <col min="3052" max="3052" width="14" style="2" customWidth="1"/>
    <col min="3053" max="3053" width="12.85546875" style="2" customWidth="1"/>
    <col min="3054" max="3304" width="9.140625" style="2"/>
    <col min="3305" max="3305" width="70.7109375" style="2" customWidth="1"/>
    <col min="3306" max="3306" width="13" style="2" customWidth="1"/>
    <col min="3307" max="3307" width="11.28515625" style="2" customWidth="1"/>
    <col min="3308" max="3308" width="14" style="2" customWidth="1"/>
    <col min="3309" max="3309" width="12.85546875" style="2" customWidth="1"/>
    <col min="3310" max="3560" width="9.140625" style="2"/>
    <col min="3561" max="3561" width="70.7109375" style="2" customWidth="1"/>
    <col min="3562" max="3562" width="13" style="2" customWidth="1"/>
    <col min="3563" max="3563" width="11.28515625" style="2" customWidth="1"/>
    <col min="3564" max="3564" width="14" style="2" customWidth="1"/>
    <col min="3565" max="3565" width="12.85546875" style="2" customWidth="1"/>
    <col min="3566" max="3816" width="9.140625" style="2"/>
    <col min="3817" max="3817" width="70.7109375" style="2" customWidth="1"/>
    <col min="3818" max="3818" width="13" style="2" customWidth="1"/>
    <col min="3819" max="3819" width="11.28515625" style="2" customWidth="1"/>
    <col min="3820" max="3820" width="14" style="2" customWidth="1"/>
    <col min="3821" max="3821" width="12.85546875" style="2" customWidth="1"/>
    <col min="3822" max="4072" width="9.140625" style="2"/>
    <col min="4073" max="4073" width="70.7109375" style="2" customWidth="1"/>
    <col min="4074" max="4074" width="13" style="2" customWidth="1"/>
    <col min="4075" max="4075" width="11.28515625" style="2" customWidth="1"/>
    <col min="4076" max="4076" width="14" style="2" customWidth="1"/>
    <col min="4077" max="4077" width="12.85546875" style="2" customWidth="1"/>
    <col min="4078" max="4328" width="9.140625" style="2"/>
    <col min="4329" max="4329" width="70.7109375" style="2" customWidth="1"/>
    <col min="4330" max="4330" width="13" style="2" customWidth="1"/>
    <col min="4331" max="4331" width="11.28515625" style="2" customWidth="1"/>
    <col min="4332" max="4332" width="14" style="2" customWidth="1"/>
    <col min="4333" max="4333" width="12.85546875" style="2" customWidth="1"/>
    <col min="4334" max="4584" width="9.140625" style="2"/>
    <col min="4585" max="4585" width="70.7109375" style="2" customWidth="1"/>
    <col min="4586" max="4586" width="13" style="2" customWidth="1"/>
    <col min="4587" max="4587" width="11.28515625" style="2" customWidth="1"/>
    <col min="4588" max="4588" width="14" style="2" customWidth="1"/>
    <col min="4589" max="4589" width="12.85546875" style="2" customWidth="1"/>
    <col min="4590" max="4840" width="9.140625" style="2"/>
    <col min="4841" max="4841" width="70.7109375" style="2" customWidth="1"/>
    <col min="4842" max="4842" width="13" style="2" customWidth="1"/>
    <col min="4843" max="4843" width="11.28515625" style="2" customWidth="1"/>
    <col min="4844" max="4844" width="14" style="2" customWidth="1"/>
    <col min="4845" max="4845" width="12.85546875" style="2" customWidth="1"/>
    <col min="4846" max="5096" width="9.140625" style="2"/>
    <col min="5097" max="5097" width="70.7109375" style="2" customWidth="1"/>
    <col min="5098" max="5098" width="13" style="2" customWidth="1"/>
    <col min="5099" max="5099" width="11.28515625" style="2" customWidth="1"/>
    <col min="5100" max="5100" width="14" style="2" customWidth="1"/>
    <col min="5101" max="5101" width="12.85546875" style="2" customWidth="1"/>
    <col min="5102" max="5352" width="9.140625" style="2"/>
    <col min="5353" max="5353" width="70.7109375" style="2" customWidth="1"/>
    <col min="5354" max="5354" width="13" style="2" customWidth="1"/>
    <col min="5355" max="5355" width="11.28515625" style="2" customWidth="1"/>
    <col min="5356" max="5356" width="14" style="2" customWidth="1"/>
    <col min="5357" max="5357" width="12.85546875" style="2" customWidth="1"/>
    <col min="5358" max="5608" width="9.140625" style="2"/>
    <col min="5609" max="5609" width="70.7109375" style="2" customWidth="1"/>
    <col min="5610" max="5610" width="13" style="2" customWidth="1"/>
    <col min="5611" max="5611" width="11.28515625" style="2" customWidth="1"/>
    <col min="5612" max="5612" width="14" style="2" customWidth="1"/>
    <col min="5613" max="5613" width="12.85546875" style="2" customWidth="1"/>
    <col min="5614" max="5864" width="9.140625" style="2"/>
    <col min="5865" max="5865" width="70.7109375" style="2" customWidth="1"/>
    <col min="5866" max="5866" width="13" style="2" customWidth="1"/>
    <col min="5867" max="5867" width="11.28515625" style="2" customWidth="1"/>
    <col min="5868" max="5868" width="14" style="2" customWidth="1"/>
    <col min="5869" max="5869" width="12.85546875" style="2" customWidth="1"/>
    <col min="5870" max="6120" width="9.140625" style="2"/>
    <col min="6121" max="6121" width="70.7109375" style="2" customWidth="1"/>
    <col min="6122" max="6122" width="13" style="2" customWidth="1"/>
    <col min="6123" max="6123" width="11.28515625" style="2" customWidth="1"/>
    <col min="6124" max="6124" width="14" style="2" customWidth="1"/>
    <col min="6125" max="6125" width="12.85546875" style="2" customWidth="1"/>
    <col min="6126" max="6376" width="9.140625" style="2"/>
    <col min="6377" max="6377" width="70.7109375" style="2" customWidth="1"/>
    <col min="6378" max="6378" width="13" style="2" customWidth="1"/>
    <col min="6379" max="6379" width="11.28515625" style="2" customWidth="1"/>
    <col min="6380" max="6380" width="14" style="2" customWidth="1"/>
    <col min="6381" max="6381" width="12.85546875" style="2" customWidth="1"/>
    <col min="6382" max="6632" width="9.140625" style="2"/>
    <col min="6633" max="6633" width="70.7109375" style="2" customWidth="1"/>
    <col min="6634" max="6634" width="13" style="2" customWidth="1"/>
    <col min="6635" max="6635" width="11.28515625" style="2" customWidth="1"/>
    <col min="6636" max="6636" width="14" style="2" customWidth="1"/>
    <col min="6637" max="6637" width="12.85546875" style="2" customWidth="1"/>
    <col min="6638" max="6888" width="9.140625" style="2"/>
    <col min="6889" max="6889" width="70.7109375" style="2" customWidth="1"/>
    <col min="6890" max="6890" width="13" style="2" customWidth="1"/>
    <col min="6891" max="6891" width="11.28515625" style="2" customWidth="1"/>
    <col min="6892" max="6892" width="14" style="2" customWidth="1"/>
    <col min="6893" max="6893" width="12.85546875" style="2" customWidth="1"/>
    <col min="6894" max="7144" width="9.140625" style="2"/>
    <col min="7145" max="7145" width="70.7109375" style="2" customWidth="1"/>
    <col min="7146" max="7146" width="13" style="2" customWidth="1"/>
    <col min="7147" max="7147" width="11.28515625" style="2" customWidth="1"/>
    <col min="7148" max="7148" width="14" style="2" customWidth="1"/>
    <col min="7149" max="7149" width="12.85546875" style="2" customWidth="1"/>
    <col min="7150" max="7400" width="9.140625" style="2"/>
    <col min="7401" max="7401" width="70.7109375" style="2" customWidth="1"/>
    <col min="7402" max="7402" width="13" style="2" customWidth="1"/>
    <col min="7403" max="7403" width="11.28515625" style="2" customWidth="1"/>
    <col min="7404" max="7404" width="14" style="2" customWidth="1"/>
    <col min="7405" max="7405" width="12.85546875" style="2" customWidth="1"/>
    <col min="7406" max="7656" width="9.140625" style="2"/>
    <col min="7657" max="7657" width="70.7109375" style="2" customWidth="1"/>
    <col min="7658" max="7658" width="13" style="2" customWidth="1"/>
    <col min="7659" max="7659" width="11.28515625" style="2" customWidth="1"/>
    <col min="7660" max="7660" width="14" style="2" customWidth="1"/>
    <col min="7661" max="7661" width="12.85546875" style="2" customWidth="1"/>
    <col min="7662" max="7912" width="9.140625" style="2"/>
    <col min="7913" max="7913" width="70.7109375" style="2" customWidth="1"/>
    <col min="7914" max="7914" width="13" style="2" customWidth="1"/>
    <col min="7915" max="7915" width="11.28515625" style="2" customWidth="1"/>
    <col min="7916" max="7916" width="14" style="2" customWidth="1"/>
    <col min="7917" max="7917" width="12.85546875" style="2" customWidth="1"/>
    <col min="7918" max="8168" width="9.140625" style="2"/>
    <col min="8169" max="8169" width="70.7109375" style="2" customWidth="1"/>
    <col min="8170" max="8170" width="13" style="2" customWidth="1"/>
    <col min="8171" max="8171" width="11.28515625" style="2" customWidth="1"/>
    <col min="8172" max="8172" width="14" style="2" customWidth="1"/>
    <col min="8173" max="8173" width="12.85546875" style="2" customWidth="1"/>
    <col min="8174" max="8424" width="9.140625" style="2"/>
    <col min="8425" max="8425" width="70.7109375" style="2" customWidth="1"/>
    <col min="8426" max="8426" width="13" style="2" customWidth="1"/>
    <col min="8427" max="8427" width="11.28515625" style="2" customWidth="1"/>
    <col min="8428" max="8428" width="14" style="2" customWidth="1"/>
    <col min="8429" max="8429" width="12.85546875" style="2" customWidth="1"/>
    <col min="8430" max="8680" width="9.140625" style="2"/>
    <col min="8681" max="8681" width="70.7109375" style="2" customWidth="1"/>
    <col min="8682" max="8682" width="13" style="2" customWidth="1"/>
    <col min="8683" max="8683" width="11.28515625" style="2" customWidth="1"/>
    <col min="8684" max="8684" width="14" style="2" customWidth="1"/>
    <col min="8685" max="8685" width="12.85546875" style="2" customWidth="1"/>
    <col min="8686" max="8936" width="9.140625" style="2"/>
    <col min="8937" max="8937" width="70.7109375" style="2" customWidth="1"/>
    <col min="8938" max="8938" width="13" style="2" customWidth="1"/>
    <col min="8939" max="8939" width="11.28515625" style="2" customWidth="1"/>
    <col min="8940" max="8940" width="14" style="2" customWidth="1"/>
    <col min="8941" max="8941" width="12.85546875" style="2" customWidth="1"/>
    <col min="8942" max="9192" width="9.140625" style="2"/>
    <col min="9193" max="9193" width="70.7109375" style="2" customWidth="1"/>
    <col min="9194" max="9194" width="13" style="2" customWidth="1"/>
    <col min="9195" max="9195" width="11.28515625" style="2" customWidth="1"/>
    <col min="9196" max="9196" width="14" style="2" customWidth="1"/>
    <col min="9197" max="9197" width="12.85546875" style="2" customWidth="1"/>
    <col min="9198" max="9448" width="9.140625" style="2"/>
    <col min="9449" max="9449" width="70.7109375" style="2" customWidth="1"/>
    <col min="9450" max="9450" width="13" style="2" customWidth="1"/>
    <col min="9451" max="9451" width="11.28515625" style="2" customWidth="1"/>
    <col min="9452" max="9452" width="14" style="2" customWidth="1"/>
    <col min="9453" max="9453" width="12.85546875" style="2" customWidth="1"/>
    <col min="9454" max="9704" width="9.140625" style="2"/>
    <col min="9705" max="9705" width="70.7109375" style="2" customWidth="1"/>
    <col min="9706" max="9706" width="13" style="2" customWidth="1"/>
    <col min="9707" max="9707" width="11.28515625" style="2" customWidth="1"/>
    <col min="9708" max="9708" width="14" style="2" customWidth="1"/>
    <col min="9709" max="9709" width="12.85546875" style="2" customWidth="1"/>
    <col min="9710" max="9960" width="9.140625" style="2"/>
    <col min="9961" max="9961" width="70.7109375" style="2" customWidth="1"/>
    <col min="9962" max="9962" width="13" style="2" customWidth="1"/>
    <col min="9963" max="9963" width="11.28515625" style="2" customWidth="1"/>
    <col min="9964" max="9964" width="14" style="2" customWidth="1"/>
    <col min="9965" max="9965" width="12.85546875" style="2" customWidth="1"/>
    <col min="9966" max="10216" width="9.140625" style="2"/>
    <col min="10217" max="10217" width="70.7109375" style="2" customWidth="1"/>
    <col min="10218" max="10218" width="13" style="2" customWidth="1"/>
    <col min="10219" max="10219" width="11.28515625" style="2" customWidth="1"/>
    <col min="10220" max="10220" width="14" style="2" customWidth="1"/>
    <col min="10221" max="10221" width="12.85546875" style="2" customWidth="1"/>
    <col min="10222" max="10472" width="9.140625" style="2"/>
    <col min="10473" max="10473" width="70.7109375" style="2" customWidth="1"/>
    <col min="10474" max="10474" width="13" style="2" customWidth="1"/>
    <col min="10475" max="10475" width="11.28515625" style="2" customWidth="1"/>
    <col min="10476" max="10476" width="14" style="2" customWidth="1"/>
    <col min="10477" max="10477" width="12.85546875" style="2" customWidth="1"/>
    <col min="10478" max="10728" width="9.140625" style="2"/>
    <col min="10729" max="10729" width="70.7109375" style="2" customWidth="1"/>
    <col min="10730" max="10730" width="13" style="2" customWidth="1"/>
    <col min="10731" max="10731" width="11.28515625" style="2" customWidth="1"/>
    <col min="10732" max="10732" width="14" style="2" customWidth="1"/>
    <col min="10733" max="10733" width="12.85546875" style="2" customWidth="1"/>
    <col min="10734" max="10984" width="9.140625" style="2"/>
    <col min="10985" max="10985" width="70.7109375" style="2" customWidth="1"/>
    <col min="10986" max="10986" width="13" style="2" customWidth="1"/>
    <col min="10987" max="10987" width="11.28515625" style="2" customWidth="1"/>
    <col min="10988" max="10988" width="14" style="2" customWidth="1"/>
    <col min="10989" max="10989" width="12.85546875" style="2" customWidth="1"/>
    <col min="10990" max="11240" width="9.140625" style="2"/>
    <col min="11241" max="11241" width="70.7109375" style="2" customWidth="1"/>
    <col min="11242" max="11242" width="13" style="2" customWidth="1"/>
    <col min="11243" max="11243" width="11.28515625" style="2" customWidth="1"/>
    <col min="11244" max="11244" width="14" style="2" customWidth="1"/>
    <col min="11245" max="11245" width="12.85546875" style="2" customWidth="1"/>
    <col min="11246" max="11496" width="9.140625" style="2"/>
    <col min="11497" max="11497" width="70.7109375" style="2" customWidth="1"/>
    <col min="11498" max="11498" width="13" style="2" customWidth="1"/>
    <col min="11499" max="11499" width="11.28515625" style="2" customWidth="1"/>
    <col min="11500" max="11500" width="14" style="2" customWidth="1"/>
    <col min="11501" max="11501" width="12.85546875" style="2" customWidth="1"/>
    <col min="11502" max="11752" width="9.140625" style="2"/>
    <col min="11753" max="11753" width="70.7109375" style="2" customWidth="1"/>
    <col min="11754" max="11754" width="13" style="2" customWidth="1"/>
    <col min="11755" max="11755" width="11.28515625" style="2" customWidth="1"/>
    <col min="11756" max="11756" width="14" style="2" customWidth="1"/>
    <col min="11757" max="11757" width="12.85546875" style="2" customWidth="1"/>
    <col min="11758" max="12008" width="9.140625" style="2"/>
    <col min="12009" max="12009" width="70.7109375" style="2" customWidth="1"/>
    <col min="12010" max="12010" width="13" style="2" customWidth="1"/>
    <col min="12011" max="12011" width="11.28515625" style="2" customWidth="1"/>
    <col min="12012" max="12012" width="14" style="2" customWidth="1"/>
    <col min="12013" max="12013" width="12.85546875" style="2" customWidth="1"/>
    <col min="12014" max="12264" width="9.140625" style="2"/>
    <col min="12265" max="12265" width="70.7109375" style="2" customWidth="1"/>
    <col min="12266" max="12266" width="13" style="2" customWidth="1"/>
    <col min="12267" max="12267" width="11.28515625" style="2" customWidth="1"/>
    <col min="12268" max="12268" width="14" style="2" customWidth="1"/>
    <col min="12269" max="12269" width="12.85546875" style="2" customWidth="1"/>
    <col min="12270" max="12520" width="9.140625" style="2"/>
    <col min="12521" max="12521" width="70.7109375" style="2" customWidth="1"/>
    <col min="12522" max="12522" width="13" style="2" customWidth="1"/>
    <col min="12523" max="12523" width="11.28515625" style="2" customWidth="1"/>
    <col min="12524" max="12524" width="14" style="2" customWidth="1"/>
    <col min="12525" max="12525" width="12.85546875" style="2" customWidth="1"/>
    <col min="12526" max="12776" width="9.140625" style="2"/>
    <col min="12777" max="12777" width="70.7109375" style="2" customWidth="1"/>
    <col min="12778" max="12778" width="13" style="2" customWidth="1"/>
    <col min="12779" max="12779" width="11.28515625" style="2" customWidth="1"/>
    <col min="12780" max="12780" width="14" style="2" customWidth="1"/>
    <col min="12781" max="12781" width="12.85546875" style="2" customWidth="1"/>
    <col min="12782" max="13032" width="9.140625" style="2"/>
    <col min="13033" max="13033" width="70.7109375" style="2" customWidth="1"/>
    <col min="13034" max="13034" width="13" style="2" customWidth="1"/>
    <col min="13035" max="13035" width="11.28515625" style="2" customWidth="1"/>
    <col min="13036" max="13036" width="14" style="2" customWidth="1"/>
    <col min="13037" max="13037" width="12.85546875" style="2" customWidth="1"/>
    <col min="13038" max="13288" width="9.140625" style="2"/>
    <col min="13289" max="13289" width="70.7109375" style="2" customWidth="1"/>
    <col min="13290" max="13290" width="13" style="2" customWidth="1"/>
    <col min="13291" max="13291" width="11.28515625" style="2" customWidth="1"/>
    <col min="13292" max="13292" width="14" style="2" customWidth="1"/>
    <col min="13293" max="13293" width="12.85546875" style="2" customWidth="1"/>
    <col min="13294" max="13544" width="9.140625" style="2"/>
    <col min="13545" max="13545" width="70.7109375" style="2" customWidth="1"/>
    <col min="13546" max="13546" width="13" style="2" customWidth="1"/>
    <col min="13547" max="13547" width="11.28515625" style="2" customWidth="1"/>
    <col min="13548" max="13548" width="14" style="2" customWidth="1"/>
    <col min="13549" max="13549" width="12.85546875" style="2" customWidth="1"/>
    <col min="13550" max="13800" width="9.140625" style="2"/>
    <col min="13801" max="13801" width="70.7109375" style="2" customWidth="1"/>
    <col min="13802" max="13802" width="13" style="2" customWidth="1"/>
    <col min="13803" max="13803" width="11.28515625" style="2" customWidth="1"/>
    <col min="13804" max="13804" width="14" style="2" customWidth="1"/>
    <col min="13805" max="13805" width="12.85546875" style="2" customWidth="1"/>
    <col min="13806" max="14056" width="9.140625" style="2"/>
    <col min="14057" max="14057" width="70.7109375" style="2" customWidth="1"/>
    <col min="14058" max="14058" width="13" style="2" customWidth="1"/>
    <col min="14059" max="14059" width="11.28515625" style="2" customWidth="1"/>
    <col min="14060" max="14060" width="14" style="2" customWidth="1"/>
    <col min="14061" max="14061" width="12.85546875" style="2" customWidth="1"/>
    <col min="14062" max="14312" width="9.140625" style="2"/>
    <col min="14313" max="14313" width="70.7109375" style="2" customWidth="1"/>
    <col min="14314" max="14314" width="13" style="2" customWidth="1"/>
    <col min="14315" max="14315" width="11.28515625" style="2" customWidth="1"/>
    <col min="14316" max="14316" width="14" style="2" customWidth="1"/>
    <col min="14317" max="14317" width="12.85546875" style="2" customWidth="1"/>
    <col min="14318" max="14568" width="9.140625" style="2"/>
    <col min="14569" max="14569" width="70.7109375" style="2" customWidth="1"/>
    <col min="14570" max="14570" width="13" style="2" customWidth="1"/>
    <col min="14571" max="14571" width="11.28515625" style="2" customWidth="1"/>
    <col min="14572" max="14572" width="14" style="2" customWidth="1"/>
    <col min="14573" max="14573" width="12.85546875" style="2" customWidth="1"/>
    <col min="14574" max="14824" width="9.140625" style="2"/>
    <col min="14825" max="14825" width="70.7109375" style="2" customWidth="1"/>
    <col min="14826" max="14826" width="13" style="2" customWidth="1"/>
    <col min="14827" max="14827" width="11.28515625" style="2" customWidth="1"/>
    <col min="14828" max="14828" width="14" style="2" customWidth="1"/>
    <col min="14829" max="14829" width="12.85546875" style="2" customWidth="1"/>
    <col min="14830" max="15080" width="9.140625" style="2"/>
    <col min="15081" max="15081" width="70.7109375" style="2" customWidth="1"/>
    <col min="15082" max="15082" width="13" style="2" customWidth="1"/>
    <col min="15083" max="15083" width="11.28515625" style="2" customWidth="1"/>
    <col min="15084" max="15084" width="14" style="2" customWidth="1"/>
    <col min="15085" max="15085" width="12.85546875" style="2" customWidth="1"/>
    <col min="15086" max="15336" width="9.140625" style="2"/>
    <col min="15337" max="15337" width="70.7109375" style="2" customWidth="1"/>
    <col min="15338" max="15338" width="13" style="2" customWidth="1"/>
    <col min="15339" max="15339" width="11.28515625" style="2" customWidth="1"/>
    <col min="15340" max="15340" width="14" style="2" customWidth="1"/>
    <col min="15341" max="15341" width="12.85546875" style="2" customWidth="1"/>
    <col min="15342" max="15592" width="9.140625" style="2"/>
    <col min="15593" max="15593" width="70.7109375" style="2" customWidth="1"/>
    <col min="15594" max="15594" width="13" style="2" customWidth="1"/>
    <col min="15595" max="15595" width="11.28515625" style="2" customWidth="1"/>
    <col min="15596" max="15596" width="14" style="2" customWidth="1"/>
    <col min="15597" max="15597" width="12.85546875" style="2" customWidth="1"/>
    <col min="15598" max="15848" width="9.140625" style="2"/>
    <col min="15849" max="15849" width="70.7109375" style="2" customWidth="1"/>
    <col min="15850" max="15850" width="13" style="2" customWidth="1"/>
    <col min="15851" max="15851" width="11.28515625" style="2" customWidth="1"/>
    <col min="15852" max="15852" width="14" style="2" customWidth="1"/>
    <col min="15853" max="15853" width="12.85546875" style="2" customWidth="1"/>
    <col min="15854" max="16104" width="9.140625" style="2"/>
    <col min="16105" max="16105" width="70.7109375" style="2" customWidth="1"/>
    <col min="16106" max="16106" width="13" style="2" customWidth="1"/>
    <col min="16107" max="16107" width="11.28515625" style="2" customWidth="1"/>
    <col min="16108" max="16108" width="14" style="2" customWidth="1"/>
    <col min="16109" max="16109" width="12.85546875" style="2" customWidth="1"/>
    <col min="16110" max="16384" width="9.140625" style="2"/>
  </cols>
  <sheetData>
    <row r="1" spans="1:6" ht="16.5" customHeight="1" x14ac:dyDescent="0.25">
      <c r="A1" s="1"/>
      <c r="B1" s="43"/>
      <c r="C1" s="121" t="s">
        <v>263</v>
      </c>
      <c r="D1" s="121"/>
      <c r="E1" s="121"/>
      <c r="F1" s="121"/>
    </row>
    <row r="2" spans="1:6" ht="13.5" customHeight="1" x14ac:dyDescent="0.35">
      <c r="A2" s="1"/>
      <c r="B2" s="43"/>
      <c r="C2" s="121" t="s">
        <v>326</v>
      </c>
      <c r="D2" s="121"/>
      <c r="E2" s="121"/>
      <c r="F2" s="121"/>
    </row>
    <row r="3" spans="1:6" ht="16.5" customHeight="1" x14ac:dyDescent="0.35">
      <c r="A3" s="15"/>
      <c r="B3" s="43"/>
      <c r="C3" s="122" t="s">
        <v>279</v>
      </c>
      <c r="D3" s="122"/>
      <c r="E3" s="122"/>
      <c r="F3" s="122"/>
    </row>
    <row r="4" spans="1:6" ht="12.75" customHeight="1" x14ac:dyDescent="0.35">
      <c r="A4" s="15"/>
      <c r="B4" s="16"/>
      <c r="C4" s="1"/>
      <c r="D4" s="1"/>
      <c r="E4" s="1"/>
      <c r="F4" s="1"/>
    </row>
    <row r="5" spans="1:6" ht="15.75" x14ac:dyDescent="0.25">
      <c r="A5" s="123" t="s">
        <v>300</v>
      </c>
      <c r="B5" s="123"/>
      <c r="C5" s="123"/>
      <c r="D5" s="123"/>
      <c r="E5" s="123"/>
      <c r="F5" s="123"/>
    </row>
    <row r="6" spans="1:6" ht="11.25" customHeight="1" x14ac:dyDescent="0.35">
      <c r="A6" s="15"/>
      <c r="B6" s="3"/>
      <c r="C6" s="1"/>
      <c r="D6" s="1"/>
      <c r="E6" s="1"/>
      <c r="F6" s="1"/>
    </row>
    <row r="7" spans="1:6" ht="15.6" x14ac:dyDescent="0.35">
      <c r="A7" s="15"/>
      <c r="B7" s="4" t="s">
        <v>116</v>
      </c>
      <c r="C7" s="1"/>
      <c r="D7" s="1"/>
      <c r="E7" s="1"/>
      <c r="F7" s="1" t="s">
        <v>353</v>
      </c>
    </row>
    <row r="8" spans="1:6" ht="47.25" customHeight="1" x14ac:dyDescent="0.25">
      <c r="A8" s="17" t="s">
        <v>0</v>
      </c>
      <c r="B8" s="17" t="s">
        <v>117</v>
      </c>
      <c r="C8" s="44" t="s">
        <v>280</v>
      </c>
      <c r="D8" s="44" t="s">
        <v>281</v>
      </c>
      <c r="E8" s="47" t="s">
        <v>282</v>
      </c>
      <c r="F8" s="44" t="s">
        <v>440</v>
      </c>
    </row>
    <row r="9" spans="1:6" s="18" customFormat="1" ht="15.6" x14ac:dyDescent="0.35">
      <c r="A9" s="50">
        <v>1</v>
      </c>
      <c r="B9" s="50">
        <v>2</v>
      </c>
      <c r="C9" s="48">
        <v>3</v>
      </c>
      <c r="D9" s="48">
        <v>4</v>
      </c>
      <c r="E9" s="48">
        <v>5</v>
      </c>
      <c r="F9" s="48">
        <v>6</v>
      </c>
    </row>
    <row r="10" spans="1:6" s="9" customFormat="1" ht="15.75" x14ac:dyDescent="0.25">
      <c r="A10" s="19">
        <v>1</v>
      </c>
      <c r="B10" s="20" t="s">
        <v>118</v>
      </c>
      <c r="C10" s="60">
        <f>SUM(C11:C17)</f>
        <v>73679602</v>
      </c>
      <c r="D10" s="60">
        <f>SUM(D11:D17)</f>
        <v>73320063</v>
      </c>
      <c r="E10" s="60">
        <f>SUM(E11:E17)</f>
        <v>-359539</v>
      </c>
      <c r="F10" s="37">
        <f>+D10/C10*100</f>
        <v>99.5</v>
      </c>
    </row>
    <row r="11" spans="1:6" ht="15.75" x14ac:dyDescent="0.25">
      <c r="A11" s="19">
        <v>2</v>
      </c>
      <c r="B11" s="21" t="s">
        <v>119</v>
      </c>
      <c r="C11" s="66">
        <v>58520251</v>
      </c>
      <c r="D11" s="62">
        <v>57010438</v>
      </c>
      <c r="E11" s="62">
        <f>+D11-C11</f>
        <v>-1509813</v>
      </c>
      <c r="F11" s="36">
        <f t="shared" ref="F11:F74" si="0">+D11/C11*100</f>
        <v>97.4</v>
      </c>
    </row>
    <row r="12" spans="1:6" ht="15.75" x14ac:dyDescent="0.25">
      <c r="A12" s="19">
        <v>3</v>
      </c>
      <c r="B12" s="21" t="s">
        <v>120</v>
      </c>
      <c r="C12" s="66">
        <v>337118</v>
      </c>
      <c r="D12" s="62">
        <v>395963</v>
      </c>
      <c r="E12" s="62">
        <f t="shared" ref="E12:E17" si="1">+D12-C12</f>
        <v>58845</v>
      </c>
      <c r="F12" s="36">
        <f t="shared" si="0"/>
        <v>117.5</v>
      </c>
    </row>
    <row r="13" spans="1:6" ht="15.6" x14ac:dyDescent="0.35">
      <c r="A13" s="19">
        <v>4</v>
      </c>
      <c r="B13" s="21" t="s">
        <v>121</v>
      </c>
      <c r="C13" s="66">
        <v>61399</v>
      </c>
      <c r="D13" s="62">
        <v>79156</v>
      </c>
      <c r="E13" s="62">
        <f t="shared" si="1"/>
        <v>17757</v>
      </c>
      <c r="F13" s="36">
        <f t="shared" si="0"/>
        <v>128.9</v>
      </c>
    </row>
    <row r="14" spans="1:6" ht="15.6" x14ac:dyDescent="0.35">
      <c r="A14" s="19">
        <v>5</v>
      </c>
      <c r="B14" s="21" t="s">
        <v>122</v>
      </c>
      <c r="C14" s="66">
        <v>7778614</v>
      </c>
      <c r="D14" s="62">
        <v>8603419</v>
      </c>
      <c r="E14" s="62">
        <f t="shared" si="1"/>
        <v>824805</v>
      </c>
      <c r="F14" s="36">
        <f t="shared" si="0"/>
        <v>110.6</v>
      </c>
    </row>
    <row r="15" spans="1:6" ht="15.75" x14ac:dyDescent="0.25">
      <c r="A15" s="19">
        <v>6</v>
      </c>
      <c r="B15" s="21" t="s">
        <v>123</v>
      </c>
      <c r="C15" s="66">
        <v>405468</v>
      </c>
      <c r="D15" s="62">
        <v>400459</v>
      </c>
      <c r="E15" s="62">
        <f t="shared" si="1"/>
        <v>-5009</v>
      </c>
      <c r="F15" s="36">
        <f t="shared" si="0"/>
        <v>98.8</v>
      </c>
    </row>
    <row r="16" spans="1:6" ht="15.75" x14ac:dyDescent="0.25">
      <c r="A16" s="19">
        <v>7</v>
      </c>
      <c r="B16" s="21" t="s">
        <v>124</v>
      </c>
      <c r="C16" s="66">
        <v>125985</v>
      </c>
      <c r="D16" s="62">
        <v>146038</v>
      </c>
      <c r="E16" s="62">
        <f t="shared" si="1"/>
        <v>20053</v>
      </c>
      <c r="F16" s="36">
        <f t="shared" si="0"/>
        <v>115.9</v>
      </c>
    </row>
    <row r="17" spans="1:6" ht="15.75" x14ac:dyDescent="0.25">
      <c r="A17" s="19">
        <v>8</v>
      </c>
      <c r="B17" s="21" t="s">
        <v>125</v>
      </c>
      <c r="C17" s="66">
        <v>6450767</v>
      </c>
      <c r="D17" s="62">
        <v>6684590</v>
      </c>
      <c r="E17" s="62">
        <f t="shared" si="1"/>
        <v>233823</v>
      </c>
      <c r="F17" s="36">
        <f t="shared" si="0"/>
        <v>103.6</v>
      </c>
    </row>
    <row r="18" spans="1:6" s="9" customFormat="1" ht="15.6" x14ac:dyDescent="0.35">
      <c r="A18" s="19">
        <v>9</v>
      </c>
      <c r="B18" s="20" t="s">
        <v>302</v>
      </c>
      <c r="C18" s="60">
        <f>+C19+C22+C62</f>
        <v>44120877</v>
      </c>
      <c r="D18" s="60">
        <f>+D19+D22+D62</f>
        <v>43163405</v>
      </c>
      <c r="E18" s="60">
        <f>+E19+E22+E62</f>
        <v>-957472</v>
      </c>
      <c r="F18" s="37">
        <f t="shared" si="0"/>
        <v>97.8</v>
      </c>
    </row>
    <row r="19" spans="1:6" s="9" customFormat="1" ht="15.75" x14ac:dyDescent="0.25">
      <c r="A19" s="19">
        <v>10</v>
      </c>
      <c r="B19" s="22" t="s">
        <v>126</v>
      </c>
      <c r="C19" s="60">
        <v>794341</v>
      </c>
      <c r="D19" s="63">
        <f>+D20+D21</f>
        <v>631276</v>
      </c>
      <c r="E19" s="63">
        <f>+E20+E21</f>
        <v>-163065</v>
      </c>
      <c r="F19" s="37">
        <f t="shared" si="0"/>
        <v>79.5</v>
      </c>
    </row>
    <row r="20" spans="1:6" ht="15.6" x14ac:dyDescent="0.35">
      <c r="A20" s="19">
        <v>11</v>
      </c>
      <c r="B20" s="23" t="s">
        <v>127</v>
      </c>
      <c r="C20" s="66">
        <v>54304</v>
      </c>
      <c r="D20" s="91">
        <v>141295</v>
      </c>
      <c r="E20" s="62">
        <f>+D20-C20</f>
        <v>86991</v>
      </c>
      <c r="F20" s="90" t="s">
        <v>442</v>
      </c>
    </row>
    <row r="21" spans="1:6" ht="15.6" x14ac:dyDescent="0.35">
      <c r="A21" s="19">
        <v>12</v>
      </c>
      <c r="B21" s="23" t="s">
        <v>128</v>
      </c>
      <c r="C21" s="66">
        <v>740037</v>
      </c>
      <c r="D21" s="91">
        <v>489981</v>
      </c>
      <c r="E21" s="62">
        <f>+D21-C21</f>
        <v>-250056</v>
      </c>
      <c r="F21" s="36">
        <f t="shared" si="0"/>
        <v>66.2</v>
      </c>
    </row>
    <row r="22" spans="1:6" s="9" customFormat="1" ht="15.75" x14ac:dyDescent="0.25">
      <c r="A22" s="19">
        <v>13</v>
      </c>
      <c r="B22" s="20" t="s">
        <v>303</v>
      </c>
      <c r="C22" s="60">
        <f>+C23+C44+C45+C49+C50+C51+C52+C53+C54+C55</f>
        <v>42826676</v>
      </c>
      <c r="D22" s="60">
        <f>+D23+D44+D45+D49+D50+D51+D52+D53+D54+D55</f>
        <v>42035443</v>
      </c>
      <c r="E22" s="60">
        <f>+E23+E44+E45+E49+E50+E51+E52+E53+E54+E55</f>
        <v>-791233</v>
      </c>
      <c r="F22" s="37">
        <f t="shared" si="0"/>
        <v>98.2</v>
      </c>
    </row>
    <row r="23" spans="1:6" ht="31.5" x14ac:dyDescent="0.25">
      <c r="A23" s="19">
        <v>14</v>
      </c>
      <c r="B23" s="21" t="s">
        <v>304</v>
      </c>
      <c r="C23" s="61">
        <f>SUM(C24:C43)</f>
        <v>4850665</v>
      </c>
      <c r="D23" s="61">
        <f>SUM(D24:D43)</f>
        <v>4240819</v>
      </c>
      <c r="E23" s="61">
        <f>SUM(E24:E43)</f>
        <v>-609846</v>
      </c>
      <c r="F23" s="36">
        <f t="shared" si="0"/>
        <v>87.4</v>
      </c>
    </row>
    <row r="24" spans="1:6" ht="15.75" x14ac:dyDescent="0.25">
      <c r="A24" s="19">
        <v>15</v>
      </c>
      <c r="B24" s="10" t="s">
        <v>129</v>
      </c>
      <c r="C24" s="66">
        <v>579</v>
      </c>
      <c r="D24" s="62">
        <v>533</v>
      </c>
      <c r="E24" s="62">
        <f t="shared" ref="E24:E61" si="2">+D24-C24</f>
        <v>-46</v>
      </c>
      <c r="F24" s="36">
        <f t="shared" si="0"/>
        <v>92.1</v>
      </c>
    </row>
    <row r="25" spans="1:6" ht="15.75" x14ac:dyDescent="0.25">
      <c r="A25" s="19">
        <v>16</v>
      </c>
      <c r="B25" s="10" t="s">
        <v>130</v>
      </c>
      <c r="C25" s="66">
        <v>15959</v>
      </c>
      <c r="D25" s="62">
        <v>15882</v>
      </c>
      <c r="E25" s="62">
        <f t="shared" si="2"/>
        <v>-77</v>
      </c>
      <c r="F25" s="36">
        <f t="shared" si="0"/>
        <v>99.5</v>
      </c>
    </row>
    <row r="26" spans="1:6" ht="15.75" x14ac:dyDescent="0.25">
      <c r="A26" s="19">
        <v>17</v>
      </c>
      <c r="B26" s="10" t="s">
        <v>131</v>
      </c>
      <c r="C26" s="66">
        <v>10400</v>
      </c>
      <c r="D26" s="62">
        <v>9880</v>
      </c>
      <c r="E26" s="62">
        <f t="shared" si="2"/>
        <v>-520</v>
      </c>
      <c r="F26" s="36">
        <f t="shared" si="0"/>
        <v>95</v>
      </c>
    </row>
    <row r="27" spans="1:6" ht="15.75" x14ac:dyDescent="0.25">
      <c r="A27" s="19">
        <v>18</v>
      </c>
      <c r="B27" s="10" t="s">
        <v>132</v>
      </c>
      <c r="C27" s="66">
        <v>68496</v>
      </c>
      <c r="D27" s="62">
        <v>68435</v>
      </c>
      <c r="E27" s="62">
        <f t="shared" si="2"/>
        <v>-61</v>
      </c>
      <c r="F27" s="36">
        <f t="shared" si="0"/>
        <v>99.9</v>
      </c>
    </row>
    <row r="28" spans="1:6" ht="15.75" x14ac:dyDescent="0.25">
      <c r="A28" s="19">
        <v>19</v>
      </c>
      <c r="B28" s="10" t="s">
        <v>133</v>
      </c>
      <c r="C28" s="66">
        <v>31221</v>
      </c>
      <c r="D28" s="62">
        <v>28160</v>
      </c>
      <c r="E28" s="62">
        <f t="shared" si="2"/>
        <v>-3061</v>
      </c>
      <c r="F28" s="36">
        <f t="shared" si="0"/>
        <v>90.2</v>
      </c>
    </row>
    <row r="29" spans="1:6" ht="15.75" x14ac:dyDescent="0.25">
      <c r="A29" s="19">
        <v>20</v>
      </c>
      <c r="B29" s="10" t="s">
        <v>134</v>
      </c>
      <c r="C29" s="66">
        <v>84569</v>
      </c>
      <c r="D29" s="62">
        <v>84269</v>
      </c>
      <c r="E29" s="62">
        <f t="shared" si="2"/>
        <v>-300</v>
      </c>
      <c r="F29" s="36">
        <f t="shared" si="0"/>
        <v>99.6</v>
      </c>
    </row>
    <row r="30" spans="1:6" ht="15.6" x14ac:dyDescent="0.35">
      <c r="A30" s="19">
        <v>21</v>
      </c>
      <c r="B30" s="10" t="s">
        <v>135</v>
      </c>
      <c r="C30" s="66">
        <v>15697</v>
      </c>
      <c r="D30" s="62">
        <v>15485</v>
      </c>
      <c r="E30" s="62">
        <f t="shared" si="2"/>
        <v>-212</v>
      </c>
      <c r="F30" s="36">
        <f t="shared" si="0"/>
        <v>98.6</v>
      </c>
    </row>
    <row r="31" spans="1:6" ht="15.75" x14ac:dyDescent="0.25">
      <c r="A31" s="19">
        <v>22</v>
      </c>
      <c r="B31" s="10" t="s">
        <v>136</v>
      </c>
      <c r="C31" s="66">
        <v>64095</v>
      </c>
      <c r="D31" s="62">
        <v>63994</v>
      </c>
      <c r="E31" s="62">
        <f t="shared" si="2"/>
        <v>-101</v>
      </c>
      <c r="F31" s="36">
        <f t="shared" si="0"/>
        <v>99.8</v>
      </c>
    </row>
    <row r="32" spans="1:6" ht="15.75" x14ac:dyDescent="0.25">
      <c r="A32" s="19">
        <v>23</v>
      </c>
      <c r="B32" s="10" t="s">
        <v>137</v>
      </c>
      <c r="C32" s="66">
        <v>2462</v>
      </c>
      <c r="D32" s="62">
        <v>2448</v>
      </c>
      <c r="E32" s="62">
        <f t="shared" si="2"/>
        <v>-14</v>
      </c>
      <c r="F32" s="36">
        <f t="shared" si="0"/>
        <v>99.4</v>
      </c>
    </row>
    <row r="33" spans="1:6" ht="31.5" x14ac:dyDescent="0.25">
      <c r="A33" s="19">
        <v>24</v>
      </c>
      <c r="B33" s="10" t="s">
        <v>138</v>
      </c>
      <c r="C33" s="66">
        <v>602</v>
      </c>
      <c r="D33" s="62">
        <v>575</v>
      </c>
      <c r="E33" s="62">
        <f t="shared" si="2"/>
        <v>-27</v>
      </c>
      <c r="F33" s="36">
        <f t="shared" si="0"/>
        <v>95.5</v>
      </c>
    </row>
    <row r="34" spans="1:6" ht="15.75" x14ac:dyDescent="0.25">
      <c r="A34" s="19">
        <v>25</v>
      </c>
      <c r="B34" s="10" t="s">
        <v>139</v>
      </c>
      <c r="C34" s="66">
        <v>7820</v>
      </c>
      <c r="D34" s="62">
        <v>7820</v>
      </c>
      <c r="E34" s="62">
        <f t="shared" si="2"/>
        <v>0</v>
      </c>
      <c r="F34" s="36">
        <f t="shared" si="0"/>
        <v>100</v>
      </c>
    </row>
    <row r="35" spans="1:6" ht="31.5" x14ac:dyDescent="0.25">
      <c r="A35" s="19">
        <v>26</v>
      </c>
      <c r="B35" s="10" t="s">
        <v>305</v>
      </c>
      <c r="C35" s="66">
        <v>1400</v>
      </c>
      <c r="D35" s="62">
        <v>724</v>
      </c>
      <c r="E35" s="62">
        <f t="shared" si="2"/>
        <v>-676</v>
      </c>
      <c r="F35" s="36">
        <f t="shared" si="0"/>
        <v>51.7</v>
      </c>
    </row>
    <row r="36" spans="1:6" ht="15.75" x14ac:dyDescent="0.25">
      <c r="A36" s="19">
        <v>27</v>
      </c>
      <c r="B36" s="21" t="s">
        <v>140</v>
      </c>
      <c r="C36" s="66">
        <v>268504</v>
      </c>
      <c r="D36" s="62">
        <v>266861</v>
      </c>
      <c r="E36" s="62">
        <f t="shared" si="2"/>
        <v>-1643</v>
      </c>
      <c r="F36" s="36">
        <f t="shared" si="0"/>
        <v>99.4</v>
      </c>
    </row>
    <row r="37" spans="1:6" ht="31.5" x14ac:dyDescent="0.25">
      <c r="A37" s="19">
        <v>28</v>
      </c>
      <c r="B37" s="10" t="s">
        <v>141</v>
      </c>
      <c r="C37" s="66">
        <v>303440</v>
      </c>
      <c r="D37" s="62">
        <v>293562</v>
      </c>
      <c r="E37" s="62">
        <f t="shared" si="2"/>
        <v>-9878</v>
      </c>
      <c r="F37" s="36">
        <f t="shared" si="0"/>
        <v>96.7</v>
      </c>
    </row>
    <row r="38" spans="1:6" ht="15.75" x14ac:dyDescent="0.25">
      <c r="A38" s="19">
        <v>29</v>
      </c>
      <c r="B38" s="10" t="s">
        <v>142</v>
      </c>
      <c r="C38" s="66">
        <v>1980792</v>
      </c>
      <c r="D38" s="62">
        <v>1775822</v>
      </c>
      <c r="E38" s="62">
        <f t="shared" si="2"/>
        <v>-204970</v>
      </c>
      <c r="F38" s="36">
        <f t="shared" si="0"/>
        <v>89.7</v>
      </c>
    </row>
    <row r="39" spans="1:6" ht="15.75" x14ac:dyDescent="0.25">
      <c r="A39" s="19">
        <v>30</v>
      </c>
      <c r="B39" s="10" t="s">
        <v>143</v>
      </c>
      <c r="C39" s="66">
        <v>668182</v>
      </c>
      <c r="D39" s="62">
        <v>640871</v>
      </c>
      <c r="E39" s="62">
        <f t="shared" si="2"/>
        <v>-27311</v>
      </c>
      <c r="F39" s="36">
        <f t="shared" si="0"/>
        <v>95.9</v>
      </c>
    </row>
    <row r="40" spans="1:6" ht="15.75" x14ac:dyDescent="0.25">
      <c r="A40" s="19">
        <v>31</v>
      </c>
      <c r="B40" s="10" t="s">
        <v>144</v>
      </c>
      <c r="C40" s="66">
        <v>544292</v>
      </c>
      <c r="D40" s="62">
        <v>522421</v>
      </c>
      <c r="E40" s="62">
        <f t="shared" si="2"/>
        <v>-21871</v>
      </c>
      <c r="F40" s="36">
        <f t="shared" si="0"/>
        <v>96</v>
      </c>
    </row>
    <row r="41" spans="1:6" ht="15.75" x14ac:dyDescent="0.25">
      <c r="A41" s="19">
        <v>32</v>
      </c>
      <c r="B41" s="10" t="s">
        <v>145</v>
      </c>
      <c r="C41" s="66">
        <v>255469</v>
      </c>
      <c r="D41" s="62">
        <v>255446</v>
      </c>
      <c r="E41" s="62">
        <f t="shared" si="2"/>
        <v>-23</v>
      </c>
      <c r="F41" s="36">
        <f t="shared" si="0"/>
        <v>100</v>
      </c>
    </row>
    <row r="42" spans="1:6" ht="15.75" x14ac:dyDescent="0.25">
      <c r="A42" s="19">
        <v>33</v>
      </c>
      <c r="B42" s="10" t="s">
        <v>146</v>
      </c>
      <c r="C42" s="66">
        <v>187819</v>
      </c>
      <c r="D42" s="62">
        <v>187631</v>
      </c>
      <c r="E42" s="62">
        <f t="shared" si="2"/>
        <v>-188</v>
      </c>
      <c r="F42" s="36">
        <f t="shared" si="0"/>
        <v>99.9</v>
      </c>
    </row>
    <row r="43" spans="1:6" ht="15.75" x14ac:dyDescent="0.25">
      <c r="A43" s="19">
        <v>34</v>
      </c>
      <c r="B43" s="10" t="s">
        <v>306</v>
      </c>
      <c r="C43" s="66">
        <v>338867</v>
      </c>
      <c r="D43" s="62"/>
      <c r="E43" s="62">
        <f t="shared" si="2"/>
        <v>-338867</v>
      </c>
      <c r="F43" s="36">
        <f t="shared" si="0"/>
        <v>0</v>
      </c>
    </row>
    <row r="44" spans="1:6" ht="15.75" x14ac:dyDescent="0.25">
      <c r="A44" s="19">
        <v>35</v>
      </c>
      <c r="B44" s="21" t="s">
        <v>148</v>
      </c>
      <c r="C44" s="66">
        <v>30842884</v>
      </c>
      <c r="D44" s="62">
        <v>30818247</v>
      </c>
      <c r="E44" s="62">
        <f t="shared" si="2"/>
        <v>-24637</v>
      </c>
      <c r="F44" s="36">
        <f t="shared" si="0"/>
        <v>99.9</v>
      </c>
    </row>
    <row r="45" spans="1:6" ht="15.75" x14ac:dyDescent="0.25">
      <c r="A45" s="19">
        <v>36</v>
      </c>
      <c r="B45" s="21" t="s">
        <v>307</v>
      </c>
      <c r="C45" s="61">
        <f>+C46+C47+C48</f>
        <v>1983974</v>
      </c>
      <c r="D45" s="61">
        <f>+D46+D47+D48</f>
        <v>1969228</v>
      </c>
      <c r="E45" s="61">
        <f>+E46+E47+E48</f>
        <v>-14746</v>
      </c>
      <c r="F45" s="36">
        <f t="shared" si="0"/>
        <v>99.3</v>
      </c>
    </row>
    <row r="46" spans="1:6" ht="15.75" x14ac:dyDescent="0.25">
      <c r="A46" s="19">
        <v>37</v>
      </c>
      <c r="B46" s="21" t="s">
        <v>149</v>
      </c>
      <c r="C46" s="66">
        <v>636436</v>
      </c>
      <c r="D46" s="62">
        <v>632256</v>
      </c>
      <c r="E46" s="62">
        <f t="shared" si="2"/>
        <v>-4180</v>
      </c>
      <c r="F46" s="36">
        <f t="shared" si="0"/>
        <v>99.3</v>
      </c>
    </row>
    <row r="47" spans="1:6" ht="15.75" x14ac:dyDescent="0.25">
      <c r="A47" s="19">
        <v>38</v>
      </c>
      <c r="B47" s="21" t="s">
        <v>150</v>
      </c>
      <c r="C47" s="66">
        <v>460900</v>
      </c>
      <c r="D47" s="62">
        <v>450681</v>
      </c>
      <c r="E47" s="62">
        <f t="shared" si="2"/>
        <v>-10219</v>
      </c>
      <c r="F47" s="36">
        <f t="shared" si="0"/>
        <v>97.8</v>
      </c>
    </row>
    <row r="48" spans="1:6" ht="15.75" x14ac:dyDescent="0.25">
      <c r="A48" s="19">
        <v>39</v>
      </c>
      <c r="B48" s="21" t="s">
        <v>151</v>
      </c>
      <c r="C48" s="66">
        <v>886638</v>
      </c>
      <c r="D48" s="62">
        <v>886291</v>
      </c>
      <c r="E48" s="62">
        <f t="shared" si="2"/>
        <v>-347</v>
      </c>
      <c r="F48" s="36">
        <f t="shared" si="0"/>
        <v>100</v>
      </c>
    </row>
    <row r="49" spans="1:6" ht="31.5" x14ac:dyDescent="0.25">
      <c r="A49" s="19">
        <v>40</v>
      </c>
      <c r="B49" s="21" t="s">
        <v>152</v>
      </c>
      <c r="C49" s="66">
        <v>17514</v>
      </c>
      <c r="D49" s="62">
        <v>17514</v>
      </c>
      <c r="E49" s="62">
        <f t="shared" si="2"/>
        <v>0</v>
      </c>
      <c r="F49" s="36">
        <f t="shared" si="0"/>
        <v>100</v>
      </c>
    </row>
    <row r="50" spans="1:6" ht="31.5" x14ac:dyDescent="0.25">
      <c r="A50" s="19">
        <v>41</v>
      </c>
      <c r="B50" s="21" t="s">
        <v>308</v>
      </c>
      <c r="C50" s="66">
        <v>144810</v>
      </c>
      <c r="D50" s="62">
        <v>144810</v>
      </c>
      <c r="E50" s="62">
        <f t="shared" si="2"/>
        <v>0</v>
      </c>
      <c r="F50" s="36">
        <f t="shared" si="0"/>
        <v>100</v>
      </c>
    </row>
    <row r="51" spans="1:6" ht="31.5" x14ac:dyDescent="0.25">
      <c r="A51" s="19">
        <v>42</v>
      </c>
      <c r="B51" s="21" t="s">
        <v>309</v>
      </c>
      <c r="C51" s="66">
        <v>50833</v>
      </c>
      <c r="D51" s="62">
        <v>50833</v>
      </c>
      <c r="E51" s="62">
        <f t="shared" si="2"/>
        <v>0</v>
      </c>
      <c r="F51" s="36">
        <f t="shared" si="0"/>
        <v>100</v>
      </c>
    </row>
    <row r="52" spans="1:6" ht="47.25" x14ac:dyDescent="0.25">
      <c r="A52" s="19">
        <v>43</v>
      </c>
      <c r="B52" s="21" t="s">
        <v>310</v>
      </c>
      <c r="C52" s="66">
        <v>14128</v>
      </c>
      <c r="D52" s="62">
        <v>14128</v>
      </c>
      <c r="E52" s="62">
        <f t="shared" si="2"/>
        <v>0</v>
      </c>
      <c r="F52" s="36">
        <f t="shared" si="0"/>
        <v>100</v>
      </c>
    </row>
    <row r="53" spans="1:6" ht="31.5" x14ac:dyDescent="0.25">
      <c r="A53" s="19">
        <v>44</v>
      </c>
      <c r="B53" s="21" t="s">
        <v>311</v>
      </c>
      <c r="C53" s="66">
        <v>2006573</v>
      </c>
      <c r="D53" s="62">
        <v>2002511</v>
      </c>
      <c r="E53" s="62">
        <f t="shared" si="2"/>
        <v>-4062</v>
      </c>
      <c r="F53" s="36">
        <f t="shared" si="0"/>
        <v>99.8</v>
      </c>
    </row>
    <row r="54" spans="1:6" s="9" customFormat="1" ht="31.5" x14ac:dyDescent="0.25">
      <c r="A54" s="19">
        <v>45</v>
      </c>
      <c r="B54" s="21" t="s">
        <v>312</v>
      </c>
      <c r="C54" s="66">
        <v>93962</v>
      </c>
      <c r="D54" s="62">
        <v>26870</v>
      </c>
      <c r="E54" s="62">
        <f t="shared" si="2"/>
        <v>-67092</v>
      </c>
      <c r="F54" s="36">
        <f t="shared" si="0"/>
        <v>28.6</v>
      </c>
    </row>
    <row r="55" spans="1:6" ht="31.5" x14ac:dyDescent="0.25">
      <c r="A55" s="19">
        <v>46</v>
      </c>
      <c r="B55" s="21" t="s">
        <v>313</v>
      </c>
      <c r="C55" s="61">
        <f>SUM(C56:C61)</f>
        <v>2821333</v>
      </c>
      <c r="D55" s="61">
        <f>SUM(D56:D61)</f>
        <v>2750483</v>
      </c>
      <c r="E55" s="61">
        <f>SUM(E56:E61)</f>
        <v>-70850</v>
      </c>
      <c r="F55" s="36">
        <f t="shared" si="0"/>
        <v>97.5</v>
      </c>
    </row>
    <row r="56" spans="1:6" ht="15.75" x14ac:dyDescent="0.25">
      <c r="A56" s="19">
        <v>47</v>
      </c>
      <c r="B56" s="23" t="s">
        <v>147</v>
      </c>
      <c r="C56" s="66">
        <v>320320</v>
      </c>
      <c r="D56" s="62">
        <v>320320</v>
      </c>
      <c r="E56" s="62">
        <f t="shared" si="2"/>
        <v>0</v>
      </c>
      <c r="F56" s="36">
        <f t="shared" si="0"/>
        <v>100</v>
      </c>
    </row>
    <row r="57" spans="1:6" ht="31.5" x14ac:dyDescent="0.25">
      <c r="A57" s="19">
        <v>48</v>
      </c>
      <c r="B57" s="21" t="s">
        <v>314</v>
      </c>
      <c r="C57" s="66">
        <v>143341</v>
      </c>
      <c r="D57" s="62">
        <v>143341</v>
      </c>
      <c r="E57" s="62">
        <f t="shared" si="2"/>
        <v>0</v>
      </c>
      <c r="F57" s="36">
        <f t="shared" si="0"/>
        <v>100</v>
      </c>
    </row>
    <row r="58" spans="1:6" ht="31.5" x14ac:dyDescent="0.25">
      <c r="A58" s="19">
        <v>49</v>
      </c>
      <c r="B58" s="21" t="s">
        <v>315</v>
      </c>
      <c r="C58" s="66">
        <v>144799</v>
      </c>
      <c r="D58" s="62">
        <v>144799</v>
      </c>
      <c r="E58" s="62">
        <f t="shared" si="2"/>
        <v>0</v>
      </c>
      <c r="F58" s="36">
        <f t="shared" si="0"/>
        <v>100</v>
      </c>
    </row>
    <row r="59" spans="1:6" ht="31.5" x14ac:dyDescent="0.25">
      <c r="A59" s="19">
        <v>50</v>
      </c>
      <c r="B59" s="21" t="s">
        <v>316</v>
      </c>
      <c r="C59" s="66">
        <v>405468</v>
      </c>
      <c r="D59" s="62">
        <v>396500</v>
      </c>
      <c r="E59" s="62">
        <f t="shared" si="2"/>
        <v>-8968</v>
      </c>
      <c r="F59" s="36">
        <f t="shared" si="0"/>
        <v>97.8</v>
      </c>
    </row>
    <row r="60" spans="1:6" ht="15.75" x14ac:dyDescent="0.25">
      <c r="A60" s="19">
        <v>51</v>
      </c>
      <c r="B60" s="21" t="s">
        <v>317</v>
      </c>
      <c r="C60" s="66">
        <v>115848</v>
      </c>
      <c r="D60" s="62">
        <v>115848</v>
      </c>
      <c r="E60" s="62">
        <f t="shared" si="2"/>
        <v>0</v>
      </c>
      <c r="F60" s="36">
        <f t="shared" si="0"/>
        <v>100</v>
      </c>
    </row>
    <row r="61" spans="1:6" ht="31.5" x14ac:dyDescent="0.25">
      <c r="A61" s="19">
        <v>52</v>
      </c>
      <c r="B61" s="21" t="s">
        <v>318</v>
      </c>
      <c r="C61" s="66">
        <v>1691557</v>
      </c>
      <c r="D61" s="62">
        <v>1629675</v>
      </c>
      <c r="E61" s="62">
        <f t="shared" si="2"/>
        <v>-61882</v>
      </c>
      <c r="F61" s="36">
        <f t="shared" si="0"/>
        <v>96.3</v>
      </c>
    </row>
    <row r="62" spans="1:6" ht="15.75" x14ac:dyDescent="0.25">
      <c r="A62" s="19">
        <v>53</v>
      </c>
      <c r="B62" s="58" t="s">
        <v>319</v>
      </c>
      <c r="C62" s="67">
        <f>SUM(C63:C65)</f>
        <v>499860</v>
      </c>
      <c r="D62" s="67">
        <f>SUM(D63:D65)</f>
        <v>496686</v>
      </c>
      <c r="E62" s="67">
        <f>SUM(E63:E65)</f>
        <v>-3174</v>
      </c>
      <c r="F62" s="37">
        <f t="shared" si="0"/>
        <v>99.4</v>
      </c>
    </row>
    <row r="63" spans="1:6" ht="31.5" x14ac:dyDescent="0.25">
      <c r="A63" s="19">
        <v>54</v>
      </c>
      <c r="B63" s="59" t="s">
        <v>320</v>
      </c>
      <c r="C63" s="66">
        <v>127253</v>
      </c>
      <c r="D63" s="62">
        <v>125487</v>
      </c>
      <c r="E63" s="62">
        <f t="shared" ref="E63:E74" si="3">+D63-C63</f>
        <v>-1766</v>
      </c>
      <c r="F63" s="36">
        <f t="shared" si="0"/>
        <v>98.6</v>
      </c>
    </row>
    <row r="64" spans="1:6" ht="15.75" x14ac:dyDescent="0.25">
      <c r="A64" s="19">
        <v>55</v>
      </c>
      <c r="B64" s="59" t="s">
        <v>321</v>
      </c>
      <c r="C64" s="66">
        <v>60903</v>
      </c>
      <c r="D64" s="62">
        <v>59777</v>
      </c>
      <c r="E64" s="62">
        <f t="shared" si="3"/>
        <v>-1126</v>
      </c>
      <c r="F64" s="36">
        <f t="shared" si="0"/>
        <v>98.2</v>
      </c>
    </row>
    <row r="65" spans="1:6" ht="15.75" x14ac:dyDescent="0.25">
      <c r="A65" s="19">
        <v>56</v>
      </c>
      <c r="B65" s="59" t="s">
        <v>322</v>
      </c>
      <c r="C65" s="66">
        <v>311704</v>
      </c>
      <c r="D65" s="62">
        <v>311422</v>
      </c>
      <c r="E65" s="62">
        <f t="shared" si="3"/>
        <v>-282</v>
      </c>
      <c r="F65" s="36">
        <f t="shared" si="0"/>
        <v>99.9</v>
      </c>
    </row>
    <row r="66" spans="1:6" ht="15.75" x14ac:dyDescent="0.25">
      <c r="A66" s="19">
        <v>57</v>
      </c>
      <c r="B66" s="20" t="s">
        <v>323</v>
      </c>
      <c r="C66" s="60">
        <f>SUM(C67:C76)</f>
        <v>11209400</v>
      </c>
      <c r="D66" s="60">
        <f>SUM(D67:D76)</f>
        <v>12168647</v>
      </c>
      <c r="E66" s="60">
        <f>SUM(E67:E76)</f>
        <v>959247</v>
      </c>
      <c r="F66" s="37">
        <f t="shared" si="0"/>
        <v>108.6</v>
      </c>
    </row>
    <row r="67" spans="1:6" ht="15.75" x14ac:dyDescent="0.25">
      <c r="A67" s="19">
        <v>58</v>
      </c>
      <c r="B67" s="21" t="s">
        <v>327</v>
      </c>
      <c r="C67" s="66">
        <v>57924</v>
      </c>
      <c r="D67" s="62">
        <v>42599</v>
      </c>
      <c r="E67" s="62">
        <f t="shared" si="3"/>
        <v>-15325</v>
      </c>
      <c r="F67" s="36">
        <f t="shared" si="0"/>
        <v>73.5</v>
      </c>
    </row>
    <row r="68" spans="1:6" ht="15.75" x14ac:dyDescent="0.25">
      <c r="A68" s="19">
        <v>59</v>
      </c>
      <c r="B68" s="21" t="s">
        <v>153</v>
      </c>
      <c r="C68" s="66">
        <v>970227</v>
      </c>
      <c r="D68" s="62">
        <v>983042</v>
      </c>
      <c r="E68" s="62">
        <f t="shared" si="3"/>
        <v>12815</v>
      </c>
      <c r="F68" s="36">
        <f t="shared" si="0"/>
        <v>101.3</v>
      </c>
    </row>
    <row r="69" spans="1:6" ht="31.5" x14ac:dyDescent="0.25">
      <c r="A69" s="19">
        <v>60</v>
      </c>
      <c r="B69" s="21" t="s">
        <v>154</v>
      </c>
      <c r="C69" s="66">
        <v>2056302</v>
      </c>
      <c r="D69" s="62">
        <v>2132768</v>
      </c>
      <c r="E69" s="62">
        <f t="shared" si="3"/>
        <v>76466</v>
      </c>
      <c r="F69" s="36">
        <f t="shared" si="0"/>
        <v>103.7</v>
      </c>
    </row>
    <row r="70" spans="1:6" ht="15.75" x14ac:dyDescent="0.25">
      <c r="A70" s="19">
        <v>61</v>
      </c>
      <c r="B70" s="21" t="s">
        <v>155</v>
      </c>
      <c r="C70" s="66">
        <v>72405</v>
      </c>
      <c r="D70" s="62">
        <v>143262</v>
      </c>
      <c r="E70" s="62">
        <f t="shared" si="3"/>
        <v>70857</v>
      </c>
      <c r="F70" s="36">
        <f t="shared" si="0"/>
        <v>197.9</v>
      </c>
    </row>
    <row r="71" spans="1:6" ht="15.75" x14ac:dyDescent="0.25">
      <c r="A71" s="19">
        <v>62</v>
      </c>
      <c r="B71" s="21" t="s">
        <v>156</v>
      </c>
      <c r="C71" s="66">
        <v>1635987</v>
      </c>
      <c r="D71" s="62">
        <v>1674166</v>
      </c>
      <c r="E71" s="62">
        <f t="shared" si="3"/>
        <v>38179</v>
      </c>
      <c r="F71" s="36">
        <f t="shared" si="0"/>
        <v>102.3</v>
      </c>
    </row>
    <row r="72" spans="1:6" ht="15.75" x14ac:dyDescent="0.25">
      <c r="A72" s="19">
        <v>63</v>
      </c>
      <c r="B72" s="21" t="s">
        <v>157</v>
      </c>
      <c r="C72" s="66">
        <v>1041986</v>
      </c>
      <c r="D72" s="62">
        <v>1181640</v>
      </c>
      <c r="E72" s="62">
        <f t="shared" si="3"/>
        <v>139654</v>
      </c>
      <c r="F72" s="36">
        <f t="shared" si="0"/>
        <v>113.4</v>
      </c>
    </row>
    <row r="73" spans="1:6" ht="15.75" x14ac:dyDescent="0.25">
      <c r="A73" s="19">
        <v>64</v>
      </c>
      <c r="B73" s="21" t="s">
        <v>158</v>
      </c>
      <c r="C73" s="66">
        <v>4998063</v>
      </c>
      <c r="D73" s="62">
        <v>4974973</v>
      </c>
      <c r="E73" s="62">
        <f t="shared" si="3"/>
        <v>-23090</v>
      </c>
      <c r="F73" s="36">
        <f t="shared" si="0"/>
        <v>99.5</v>
      </c>
    </row>
    <row r="74" spans="1:6" ht="15.75" x14ac:dyDescent="0.25">
      <c r="A74" s="19">
        <v>65</v>
      </c>
      <c r="B74" s="21" t="s">
        <v>159</v>
      </c>
      <c r="C74" s="66">
        <v>246177</v>
      </c>
      <c r="D74" s="62">
        <v>331319</v>
      </c>
      <c r="E74" s="62">
        <f t="shared" si="3"/>
        <v>85142</v>
      </c>
      <c r="F74" s="36">
        <f t="shared" si="0"/>
        <v>134.6</v>
      </c>
    </row>
    <row r="75" spans="1:6" ht="15.75" x14ac:dyDescent="0.25">
      <c r="A75" s="19">
        <v>66</v>
      </c>
      <c r="B75" s="21" t="s">
        <v>160</v>
      </c>
      <c r="C75" s="66">
        <v>2896</v>
      </c>
      <c r="D75" s="62">
        <v>56289</v>
      </c>
      <c r="E75" s="62">
        <f>+D75-C75</f>
        <v>53393</v>
      </c>
      <c r="F75" s="90" t="s">
        <v>441</v>
      </c>
    </row>
    <row r="76" spans="1:6" ht="15.75" x14ac:dyDescent="0.25">
      <c r="A76" s="19">
        <v>67</v>
      </c>
      <c r="B76" s="21" t="s">
        <v>161</v>
      </c>
      <c r="C76" s="66">
        <v>127433</v>
      </c>
      <c r="D76" s="62">
        <v>648589</v>
      </c>
      <c r="E76" s="62">
        <f>+D76-C76</f>
        <v>521156</v>
      </c>
      <c r="F76" s="90" t="s">
        <v>443</v>
      </c>
    </row>
    <row r="77" spans="1:6" ht="31.5" x14ac:dyDescent="0.25">
      <c r="A77" s="19">
        <v>68</v>
      </c>
      <c r="B77" s="20" t="s">
        <v>324</v>
      </c>
      <c r="C77" s="67">
        <f>+C78</f>
        <v>550278</v>
      </c>
      <c r="D77" s="67">
        <f>+D78</f>
        <v>2953427</v>
      </c>
      <c r="E77" s="67">
        <f>+E78</f>
        <v>2403149</v>
      </c>
      <c r="F77" s="92" t="s">
        <v>444</v>
      </c>
    </row>
    <row r="78" spans="1:6" ht="15.75" x14ac:dyDescent="0.25">
      <c r="A78" s="19">
        <v>69</v>
      </c>
      <c r="B78" s="20" t="s">
        <v>325</v>
      </c>
      <c r="C78" s="67">
        <f>SUM(C79:C80)</f>
        <v>550278</v>
      </c>
      <c r="D78" s="67">
        <f>SUM(D79:D80)</f>
        <v>2953427</v>
      </c>
      <c r="E78" s="67">
        <f>SUM(E79:E80)</f>
        <v>2403149</v>
      </c>
      <c r="F78" s="92" t="s">
        <v>444</v>
      </c>
    </row>
    <row r="79" spans="1:6" ht="15.75" x14ac:dyDescent="0.25">
      <c r="A79" s="19">
        <v>70</v>
      </c>
      <c r="B79" s="21" t="s">
        <v>162</v>
      </c>
      <c r="C79" s="66">
        <v>434430</v>
      </c>
      <c r="D79" s="62">
        <v>2053119</v>
      </c>
      <c r="E79" s="62">
        <f>+D79-C79</f>
        <v>1618689</v>
      </c>
      <c r="F79" s="90" t="s">
        <v>445</v>
      </c>
    </row>
    <row r="80" spans="1:6" ht="15.75" x14ac:dyDescent="0.25">
      <c r="A80" s="19">
        <v>71</v>
      </c>
      <c r="B80" s="21" t="s">
        <v>328</v>
      </c>
      <c r="C80" s="66">
        <v>115848</v>
      </c>
      <c r="D80" s="62">
        <f>897706+1976+626</f>
        <v>900308</v>
      </c>
      <c r="E80" s="62">
        <f>+D80-C80</f>
        <v>784460</v>
      </c>
      <c r="F80" s="90" t="s">
        <v>446</v>
      </c>
    </row>
    <row r="81" spans="1:6" ht="15.75" x14ac:dyDescent="0.25">
      <c r="A81" s="19">
        <v>72</v>
      </c>
      <c r="B81" s="20" t="s">
        <v>329</v>
      </c>
      <c r="C81" s="67">
        <f>+C82</f>
        <v>0</v>
      </c>
      <c r="D81" s="67">
        <f>+D82</f>
        <v>118500</v>
      </c>
      <c r="E81" s="63">
        <f>+D81-C81</f>
        <v>118500</v>
      </c>
      <c r="F81" s="36"/>
    </row>
    <row r="82" spans="1:6" ht="15.75" x14ac:dyDescent="0.25">
      <c r="A82" s="19">
        <v>73</v>
      </c>
      <c r="B82" s="21" t="s">
        <v>330</v>
      </c>
      <c r="C82" s="66"/>
      <c r="D82" s="62">
        <v>118500</v>
      </c>
      <c r="E82" s="62">
        <f>+D82-C82</f>
        <v>118500</v>
      </c>
      <c r="F82" s="36"/>
    </row>
    <row r="83" spans="1:6" ht="15.75" x14ac:dyDescent="0.25">
      <c r="A83" s="19">
        <v>74</v>
      </c>
      <c r="B83" s="22" t="s">
        <v>331</v>
      </c>
      <c r="C83" s="67">
        <f>+C10+C18+C66+C77+C81</f>
        <v>129560157</v>
      </c>
      <c r="D83" s="67">
        <f>+D10+D18+D66+D77+D81</f>
        <v>131724042</v>
      </c>
      <c r="E83" s="67">
        <f>+E10+E18+E66+E77+E81</f>
        <v>2163885</v>
      </c>
      <c r="F83" s="37">
        <f>+D83/C83*100</f>
        <v>101.7</v>
      </c>
    </row>
    <row r="84" spans="1:6" ht="15.75" x14ac:dyDescent="0.25">
      <c r="A84" s="19">
        <v>75</v>
      </c>
      <c r="B84" s="35" t="s">
        <v>301</v>
      </c>
      <c r="C84" s="67">
        <v>4823613</v>
      </c>
      <c r="D84" s="63">
        <v>4823613</v>
      </c>
      <c r="E84" s="63"/>
      <c r="F84" s="37">
        <f>+D84/C84*100</f>
        <v>100</v>
      </c>
    </row>
    <row r="85" spans="1:6" ht="15.75" x14ac:dyDescent="0.25">
      <c r="A85" s="19">
        <v>76</v>
      </c>
      <c r="B85" s="35" t="s">
        <v>332</v>
      </c>
      <c r="C85" s="67">
        <f>+C83+C84</f>
        <v>134383770</v>
      </c>
      <c r="D85" s="67">
        <f>+D83+D84</f>
        <v>136547655</v>
      </c>
      <c r="E85" s="67">
        <f>+E83+E84</f>
        <v>2163885</v>
      </c>
      <c r="F85" s="37">
        <f>+D85/C85*100</f>
        <v>101.6</v>
      </c>
    </row>
  </sheetData>
  <mergeCells count="4">
    <mergeCell ref="C1:F1"/>
    <mergeCell ref="C2:F2"/>
    <mergeCell ref="C3:F3"/>
    <mergeCell ref="A5:F5"/>
  </mergeCells>
  <pageMargins left="0.78740157480314965" right="0.39370078740157483" top="0.98425196850393704" bottom="0.39370078740157483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78"/>
  <sheetViews>
    <sheetView showZeros="0" zoomScaleNormal="100" workbookViewId="0">
      <pane xSplit="2" ySplit="7" topLeftCell="C167" activePane="bottomRight" state="frozen"/>
      <selection pane="topRight" activeCell="C1" sqref="C1"/>
      <selection pane="bottomLeft" activeCell="A7" sqref="A7"/>
      <selection pane="bottomRight" activeCell="C178" sqref="C178"/>
    </sheetView>
  </sheetViews>
  <sheetFormatPr defaultColWidth="10.140625" defaultRowHeight="15" x14ac:dyDescent="0.2"/>
  <cols>
    <col min="1" max="1" width="6" style="24" customWidth="1"/>
    <col min="2" max="2" width="44" style="2" customWidth="1"/>
    <col min="3" max="4" width="9.85546875" style="2" customWidth="1"/>
    <col min="5" max="5" width="8.5703125" style="2" customWidth="1"/>
    <col min="6" max="6" width="5.5703125" style="2" customWidth="1"/>
    <col min="7" max="7" width="10.140625" style="2" customWidth="1"/>
    <col min="8" max="8" width="10" style="2" customWidth="1"/>
    <col min="9" max="9" width="9.28515625" style="2" customWidth="1"/>
    <col min="10" max="10" width="9.42578125" style="2" customWidth="1"/>
    <col min="11" max="11" width="9" style="2" customWidth="1"/>
    <col min="12" max="12" width="10.140625" style="2" customWidth="1"/>
    <col min="13" max="139" width="10.140625" style="2"/>
    <col min="140" max="140" width="6" style="2" customWidth="1"/>
    <col min="141" max="141" width="44" style="2" customWidth="1"/>
    <col min="142" max="142" width="9.85546875" style="2" customWidth="1"/>
    <col min="143" max="143" width="12.42578125" style="2" customWidth="1"/>
    <col min="144" max="144" width="9.85546875" style="2" customWidth="1"/>
    <col min="145" max="145" width="8.7109375" style="2" customWidth="1"/>
    <col min="146" max="146" width="10.42578125" style="2" customWidth="1"/>
    <col min="147" max="395" width="10.140625" style="2"/>
    <col min="396" max="396" width="6" style="2" customWidth="1"/>
    <col min="397" max="397" width="44" style="2" customWidth="1"/>
    <col min="398" max="398" width="9.85546875" style="2" customWidth="1"/>
    <col min="399" max="399" width="12.42578125" style="2" customWidth="1"/>
    <col min="400" max="400" width="9.85546875" style="2" customWidth="1"/>
    <col min="401" max="401" width="8.7109375" style="2" customWidth="1"/>
    <col min="402" max="402" width="10.42578125" style="2" customWidth="1"/>
    <col min="403" max="651" width="10.140625" style="2"/>
    <col min="652" max="652" width="6" style="2" customWidth="1"/>
    <col min="653" max="653" width="44" style="2" customWidth="1"/>
    <col min="654" max="654" width="9.85546875" style="2" customWidth="1"/>
    <col min="655" max="655" width="12.42578125" style="2" customWidth="1"/>
    <col min="656" max="656" width="9.85546875" style="2" customWidth="1"/>
    <col min="657" max="657" width="8.7109375" style="2" customWidth="1"/>
    <col min="658" max="658" width="10.42578125" style="2" customWidth="1"/>
    <col min="659" max="907" width="10.140625" style="2"/>
    <col min="908" max="908" width="6" style="2" customWidth="1"/>
    <col min="909" max="909" width="44" style="2" customWidth="1"/>
    <col min="910" max="910" width="9.85546875" style="2" customWidth="1"/>
    <col min="911" max="911" width="12.42578125" style="2" customWidth="1"/>
    <col min="912" max="912" width="9.85546875" style="2" customWidth="1"/>
    <col min="913" max="913" width="8.7109375" style="2" customWidth="1"/>
    <col min="914" max="914" width="10.42578125" style="2" customWidth="1"/>
    <col min="915" max="1163" width="10.140625" style="2"/>
    <col min="1164" max="1164" width="6" style="2" customWidth="1"/>
    <col min="1165" max="1165" width="44" style="2" customWidth="1"/>
    <col min="1166" max="1166" width="9.85546875" style="2" customWidth="1"/>
    <col min="1167" max="1167" width="12.42578125" style="2" customWidth="1"/>
    <col min="1168" max="1168" width="9.85546875" style="2" customWidth="1"/>
    <col min="1169" max="1169" width="8.7109375" style="2" customWidth="1"/>
    <col min="1170" max="1170" width="10.42578125" style="2" customWidth="1"/>
    <col min="1171" max="1419" width="10.140625" style="2"/>
    <col min="1420" max="1420" width="6" style="2" customWidth="1"/>
    <col min="1421" max="1421" width="44" style="2" customWidth="1"/>
    <col min="1422" max="1422" width="9.85546875" style="2" customWidth="1"/>
    <col min="1423" max="1423" width="12.42578125" style="2" customWidth="1"/>
    <col min="1424" max="1424" width="9.85546875" style="2" customWidth="1"/>
    <col min="1425" max="1425" width="8.7109375" style="2" customWidth="1"/>
    <col min="1426" max="1426" width="10.42578125" style="2" customWidth="1"/>
    <col min="1427" max="1675" width="10.140625" style="2"/>
    <col min="1676" max="1676" width="6" style="2" customWidth="1"/>
    <col min="1677" max="1677" width="44" style="2" customWidth="1"/>
    <col min="1678" max="1678" width="9.85546875" style="2" customWidth="1"/>
    <col min="1679" max="1679" width="12.42578125" style="2" customWidth="1"/>
    <col min="1680" max="1680" width="9.85546875" style="2" customWidth="1"/>
    <col min="1681" max="1681" width="8.7109375" style="2" customWidth="1"/>
    <col min="1682" max="1682" width="10.42578125" style="2" customWidth="1"/>
    <col min="1683" max="1931" width="10.140625" style="2"/>
    <col min="1932" max="1932" width="6" style="2" customWidth="1"/>
    <col min="1933" max="1933" width="44" style="2" customWidth="1"/>
    <col min="1934" max="1934" width="9.85546875" style="2" customWidth="1"/>
    <col min="1935" max="1935" width="12.42578125" style="2" customWidth="1"/>
    <col min="1936" max="1936" width="9.85546875" style="2" customWidth="1"/>
    <col min="1937" max="1937" width="8.7109375" style="2" customWidth="1"/>
    <col min="1938" max="1938" width="10.42578125" style="2" customWidth="1"/>
    <col min="1939" max="2187" width="10.140625" style="2"/>
    <col min="2188" max="2188" width="6" style="2" customWidth="1"/>
    <col min="2189" max="2189" width="44" style="2" customWidth="1"/>
    <col min="2190" max="2190" width="9.85546875" style="2" customWidth="1"/>
    <col min="2191" max="2191" width="12.42578125" style="2" customWidth="1"/>
    <col min="2192" max="2192" width="9.85546875" style="2" customWidth="1"/>
    <col min="2193" max="2193" width="8.7109375" style="2" customWidth="1"/>
    <col min="2194" max="2194" width="10.42578125" style="2" customWidth="1"/>
    <col min="2195" max="2443" width="10.140625" style="2"/>
    <col min="2444" max="2444" width="6" style="2" customWidth="1"/>
    <col min="2445" max="2445" width="44" style="2" customWidth="1"/>
    <col min="2446" max="2446" width="9.85546875" style="2" customWidth="1"/>
    <col min="2447" max="2447" width="12.42578125" style="2" customWidth="1"/>
    <col min="2448" max="2448" width="9.85546875" style="2" customWidth="1"/>
    <col min="2449" max="2449" width="8.7109375" style="2" customWidth="1"/>
    <col min="2450" max="2450" width="10.42578125" style="2" customWidth="1"/>
    <col min="2451" max="2699" width="10.140625" style="2"/>
    <col min="2700" max="2700" width="6" style="2" customWidth="1"/>
    <col min="2701" max="2701" width="44" style="2" customWidth="1"/>
    <col min="2702" max="2702" width="9.85546875" style="2" customWidth="1"/>
    <col min="2703" max="2703" width="12.42578125" style="2" customWidth="1"/>
    <col min="2704" max="2704" width="9.85546875" style="2" customWidth="1"/>
    <col min="2705" max="2705" width="8.7109375" style="2" customWidth="1"/>
    <col min="2706" max="2706" width="10.42578125" style="2" customWidth="1"/>
    <col min="2707" max="2955" width="10.140625" style="2"/>
    <col min="2956" max="2956" width="6" style="2" customWidth="1"/>
    <col min="2957" max="2957" width="44" style="2" customWidth="1"/>
    <col min="2958" max="2958" width="9.85546875" style="2" customWidth="1"/>
    <col min="2959" max="2959" width="12.42578125" style="2" customWidth="1"/>
    <col min="2960" max="2960" width="9.85546875" style="2" customWidth="1"/>
    <col min="2961" max="2961" width="8.7109375" style="2" customWidth="1"/>
    <col min="2962" max="2962" width="10.42578125" style="2" customWidth="1"/>
    <col min="2963" max="3211" width="10.140625" style="2"/>
    <col min="3212" max="3212" width="6" style="2" customWidth="1"/>
    <col min="3213" max="3213" width="44" style="2" customWidth="1"/>
    <col min="3214" max="3214" width="9.85546875" style="2" customWidth="1"/>
    <col min="3215" max="3215" width="12.42578125" style="2" customWidth="1"/>
    <col min="3216" max="3216" width="9.85546875" style="2" customWidth="1"/>
    <col min="3217" max="3217" width="8.7109375" style="2" customWidth="1"/>
    <col min="3218" max="3218" width="10.42578125" style="2" customWidth="1"/>
    <col min="3219" max="3467" width="10.140625" style="2"/>
    <col min="3468" max="3468" width="6" style="2" customWidth="1"/>
    <col min="3469" max="3469" width="44" style="2" customWidth="1"/>
    <col min="3470" max="3470" width="9.85546875" style="2" customWidth="1"/>
    <col min="3471" max="3471" width="12.42578125" style="2" customWidth="1"/>
    <col min="3472" max="3472" width="9.85546875" style="2" customWidth="1"/>
    <col min="3473" max="3473" width="8.7109375" style="2" customWidth="1"/>
    <col min="3474" max="3474" width="10.42578125" style="2" customWidth="1"/>
    <col min="3475" max="3723" width="10.140625" style="2"/>
    <col min="3724" max="3724" width="6" style="2" customWidth="1"/>
    <col min="3725" max="3725" width="44" style="2" customWidth="1"/>
    <col min="3726" max="3726" width="9.85546875" style="2" customWidth="1"/>
    <col min="3727" max="3727" width="12.42578125" style="2" customWidth="1"/>
    <col min="3728" max="3728" width="9.85546875" style="2" customWidth="1"/>
    <col min="3729" max="3729" width="8.7109375" style="2" customWidth="1"/>
    <col min="3730" max="3730" width="10.42578125" style="2" customWidth="1"/>
    <col min="3731" max="3979" width="10.140625" style="2"/>
    <col min="3980" max="3980" width="6" style="2" customWidth="1"/>
    <col min="3981" max="3981" width="44" style="2" customWidth="1"/>
    <col min="3982" max="3982" width="9.85546875" style="2" customWidth="1"/>
    <col min="3983" max="3983" width="12.42578125" style="2" customWidth="1"/>
    <col min="3984" max="3984" width="9.85546875" style="2" customWidth="1"/>
    <col min="3985" max="3985" width="8.7109375" style="2" customWidth="1"/>
    <col min="3986" max="3986" width="10.42578125" style="2" customWidth="1"/>
    <col min="3987" max="4235" width="10.140625" style="2"/>
    <col min="4236" max="4236" width="6" style="2" customWidth="1"/>
    <col min="4237" max="4237" width="44" style="2" customWidth="1"/>
    <col min="4238" max="4238" width="9.85546875" style="2" customWidth="1"/>
    <col min="4239" max="4239" width="12.42578125" style="2" customWidth="1"/>
    <col min="4240" max="4240" width="9.85546875" style="2" customWidth="1"/>
    <col min="4241" max="4241" width="8.7109375" style="2" customWidth="1"/>
    <col min="4242" max="4242" width="10.42578125" style="2" customWidth="1"/>
    <col min="4243" max="4491" width="10.140625" style="2"/>
    <col min="4492" max="4492" width="6" style="2" customWidth="1"/>
    <col min="4493" max="4493" width="44" style="2" customWidth="1"/>
    <col min="4494" max="4494" width="9.85546875" style="2" customWidth="1"/>
    <col min="4495" max="4495" width="12.42578125" style="2" customWidth="1"/>
    <col min="4496" max="4496" width="9.85546875" style="2" customWidth="1"/>
    <col min="4497" max="4497" width="8.7109375" style="2" customWidth="1"/>
    <col min="4498" max="4498" width="10.42578125" style="2" customWidth="1"/>
    <col min="4499" max="4747" width="10.140625" style="2"/>
    <col min="4748" max="4748" width="6" style="2" customWidth="1"/>
    <col min="4749" max="4749" width="44" style="2" customWidth="1"/>
    <col min="4750" max="4750" width="9.85546875" style="2" customWidth="1"/>
    <col min="4751" max="4751" width="12.42578125" style="2" customWidth="1"/>
    <col min="4752" max="4752" width="9.85546875" style="2" customWidth="1"/>
    <col min="4753" max="4753" width="8.7109375" style="2" customWidth="1"/>
    <col min="4754" max="4754" width="10.42578125" style="2" customWidth="1"/>
    <col min="4755" max="5003" width="10.140625" style="2"/>
    <col min="5004" max="5004" width="6" style="2" customWidth="1"/>
    <col min="5005" max="5005" width="44" style="2" customWidth="1"/>
    <col min="5006" max="5006" width="9.85546875" style="2" customWidth="1"/>
    <col min="5007" max="5007" width="12.42578125" style="2" customWidth="1"/>
    <col min="5008" max="5008" width="9.85546875" style="2" customWidth="1"/>
    <col min="5009" max="5009" width="8.7109375" style="2" customWidth="1"/>
    <col min="5010" max="5010" width="10.42578125" style="2" customWidth="1"/>
    <col min="5011" max="5259" width="10.140625" style="2"/>
    <col min="5260" max="5260" width="6" style="2" customWidth="1"/>
    <col min="5261" max="5261" width="44" style="2" customWidth="1"/>
    <col min="5262" max="5262" width="9.85546875" style="2" customWidth="1"/>
    <col min="5263" max="5263" width="12.42578125" style="2" customWidth="1"/>
    <col min="5264" max="5264" width="9.85546875" style="2" customWidth="1"/>
    <col min="5265" max="5265" width="8.7109375" style="2" customWidth="1"/>
    <col min="5266" max="5266" width="10.42578125" style="2" customWidth="1"/>
    <col min="5267" max="5515" width="10.140625" style="2"/>
    <col min="5516" max="5516" width="6" style="2" customWidth="1"/>
    <col min="5517" max="5517" width="44" style="2" customWidth="1"/>
    <col min="5518" max="5518" width="9.85546875" style="2" customWidth="1"/>
    <col min="5519" max="5519" width="12.42578125" style="2" customWidth="1"/>
    <col min="5520" max="5520" width="9.85546875" style="2" customWidth="1"/>
    <col min="5521" max="5521" width="8.7109375" style="2" customWidth="1"/>
    <col min="5522" max="5522" width="10.42578125" style="2" customWidth="1"/>
    <col min="5523" max="5771" width="10.140625" style="2"/>
    <col min="5772" max="5772" width="6" style="2" customWidth="1"/>
    <col min="5773" max="5773" width="44" style="2" customWidth="1"/>
    <col min="5774" max="5774" width="9.85546875" style="2" customWidth="1"/>
    <col min="5775" max="5775" width="12.42578125" style="2" customWidth="1"/>
    <col min="5776" max="5776" width="9.85546875" style="2" customWidth="1"/>
    <col min="5777" max="5777" width="8.7109375" style="2" customWidth="1"/>
    <col min="5778" max="5778" width="10.42578125" style="2" customWidth="1"/>
    <col min="5779" max="6027" width="10.140625" style="2"/>
    <col min="6028" max="6028" width="6" style="2" customWidth="1"/>
    <col min="6029" max="6029" width="44" style="2" customWidth="1"/>
    <col min="6030" max="6030" width="9.85546875" style="2" customWidth="1"/>
    <col min="6031" max="6031" width="12.42578125" style="2" customWidth="1"/>
    <col min="6032" max="6032" width="9.85546875" style="2" customWidth="1"/>
    <col min="6033" max="6033" width="8.7109375" style="2" customWidth="1"/>
    <col min="6034" max="6034" width="10.42578125" style="2" customWidth="1"/>
    <col min="6035" max="6283" width="10.140625" style="2"/>
    <col min="6284" max="6284" width="6" style="2" customWidth="1"/>
    <col min="6285" max="6285" width="44" style="2" customWidth="1"/>
    <col min="6286" max="6286" width="9.85546875" style="2" customWidth="1"/>
    <col min="6287" max="6287" width="12.42578125" style="2" customWidth="1"/>
    <col min="6288" max="6288" width="9.85546875" style="2" customWidth="1"/>
    <col min="6289" max="6289" width="8.7109375" style="2" customWidth="1"/>
    <col min="6290" max="6290" width="10.42578125" style="2" customWidth="1"/>
    <col min="6291" max="6539" width="10.140625" style="2"/>
    <col min="6540" max="6540" width="6" style="2" customWidth="1"/>
    <col min="6541" max="6541" width="44" style="2" customWidth="1"/>
    <col min="6542" max="6542" width="9.85546875" style="2" customWidth="1"/>
    <col min="6543" max="6543" width="12.42578125" style="2" customWidth="1"/>
    <col min="6544" max="6544" width="9.85546875" style="2" customWidth="1"/>
    <col min="6545" max="6545" width="8.7109375" style="2" customWidth="1"/>
    <col min="6546" max="6546" width="10.42578125" style="2" customWidth="1"/>
    <col min="6547" max="6795" width="10.140625" style="2"/>
    <col min="6796" max="6796" width="6" style="2" customWidth="1"/>
    <col min="6797" max="6797" width="44" style="2" customWidth="1"/>
    <col min="6798" max="6798" width="9.85546875" style="2" customWidth="1"/>
    <col min="6799" max="6799" width="12.42578125" style="2" customWidth="1"/>
    <col min="6800" max="6800" width="9.85546875" style="2" customWidth="1"/>
    <col min="6801" max="6801" width="8.7109375" style="2" customWidth="1"/>
    <col min="6802" max="6802" width="10.42578125" style="2" customWidth="1"/>
    <col min="6803" max="7051" width="10.140625" style="2"/>
    <col min="7052" max="7052" width="6" style="2" customWidth="1"/>
    <col min="7053" max="7053" width="44" style="2" customWidth="1"/>
    <col min="7054" max="7054" width="9.85546875" style="2" customWidth="1"/>
    <col min="7055" max="7055" width="12.42578125" style="2" customWidth="1"/>
    <col min="7056" max="7056" width="9.85546875" style="2" customWidth="1"/>
    <col min="7057" max="7057" width="8.7109375" style="2" customWidth="1"/>
    <col min="7058" max="7058" width="10.42578125" style="2" customWidth="1"/>
    <col min="7059" max="7307" width="10.140625" style="2"/>
    <col min="7308" max="7308" width="6" style="2" customWidth="1"/>
    <col min="7309" max="7309" width="44" style="2" customWidth="1"/>
    <col min="7310" max="7310" width="9.85546875" style="2" customWidth="1"/>
    <col min="7311" max="7311" width="12.42578125" style="2" customWidth="1"/>
    <col min="7312" max="7312" width="9.85546875" style="2" customWidth="1"/>
    <col min="7313" max="7313" width="8.7109375" style="2" customWidth="1"/>
    <col min="7314" max="7314" width="10.42578125" style="2" customWidth="1"/>
    <col min="7315" max="7563" width="10.140625" style="2"/>
    <col min="7564" max="7564" width="6" style="2" customWidth="1"/>
    <col min="7565" max="7565" width="44" style="2" customWidth="1"/>
    <col min="7566" max="7566" width="9.85546875" style="2" customWidth="1"/>
    <col min="7567" max="7567" width="12.42578125" style="2" customWidth="1"/>
    <col min="7568" max="7568" width="9.85546875" style="2" customWidth="1"/>
    <col min="7569" max="7569" width="8.7109375" style="2" customWidth="1"/>
    <col min="7570" max="7570" width="10.42578125" style="2" customWidth="1"/>
    <col min="7571" max="7819" width="10.140625" style="2"/>
    <col min="7820" max="7820" width="6" style="2" customWidth="1"/>
    <col min="7821" max="7821" width="44" style="2" customWidth="1"/>
    <col min="7822" max="7822" width="9.85546875" style="2" customWidth="1"/>
    <col min="7823" max="7823" width="12.42578125" style="2" customWidth="1"/>
    <col min="7824" max="7824" width="9.85546875" style="2" customWidth="1"/>
    <col min="7825" max="7825" width="8.7109375" style="2" customWidth="1"/>
    <col min="7826" max="7826" width="10.42578125" style="2" customWidth="1"/>
    <col min="7827" max="8075" width="10.140625" style="2"/>
    <col min="8076" max="8076" width="6" style="2" customWidth="1"/>
    <col min="8077" max="8077" width="44" style="2" customWidth="1"/>
    <col min="8078" max="8078" width="9.85546875" style="2" customWidth="1"/>
    <col min="8079" max="8079" width="12.42578125" style="2" customWidth="1"/>
    <col min="8080" max="8080" width="9.85546875" style="2" customWidth="1"/>
    <col min="8081" max="8081" width="8.7109375" style="2" customWidth="1"/>
    <col min="8082" max="8082" width="10.42578125" style="2" customWidth="1"/>
    <col min="8083" max="8331" width="10.140625" style="2"/>
    <col min="8332" max="8332" width="6" style="2" customWidth="1"/>
    <col min="8333" max="8333" width="44" style="2" customWidth="1"/>
    <col min="8334" max="8334" width="9.85546875" style="2" customWidth="1"/>
    <col min="8335" max="8335" width="12.42578125" style="2" customWidth="1"/>
    <col min="8336" max="8336" width="9.85546875" style="2" customWidth="1"/>
    <col min="8337" max="8337" width="8.7109375" style="2" customWidth="1"/>
    <col min="8338" max="8338" width="10.42578125" style="2" customWidth="1"/>
    <col min="8339" max="8587" width="10.140625" style="2"/>
    <col min="8588" max="8588" width="6" style="2" customWidth="1"/>
    <col min="8589" max="8589" width="44" style="2" customWidth="1"/>
    <col min="8590" max="8590" width="9.85546875" style="2" customWidth="1"/>
    <col min="8591" max="8591" width="12.42578125" style="2" customWidth="1"/>
    <col min="8592" max="8592" width="9.85546875" style="2" customWidth="1"/>
    <col min="8593" max="8593" width="8.7109375" style="2" customWidth="1"/>
    <col min="8594" max="8594" width="10.42578125" style="2" customWidth="1"/>
    <col min="8595" max="8843" width="10.140625" style="2"/>
    <col min="8844" max="8844" width="6" style="2" customWidth="1"/>
    <col min="8845" max="8845" width="44" style="2" customWidth="1"/>
    <col min="8846" max="8846" width="9.85546875" style="2" customWidth="1"/>
    <col min="8847" max="8847" width="12.42578125" style="2" customWidth="1"/>
    <col min="8848" max="8848" width="9.85546875" style="2" customWidth="1"/>
    <col min="8849" max="8849" width="8.7109375" style="2" customWidth="1"/>
    <col min="8850" max="8850" width="10.42578125" style="2" customWidth="1"/>
    <col min="8851" max="9099" width="10.140625" style="2"/>
    <col min="9100" max="9100" width="6" style="2" customWidth="1"/>
    <col min="9101" max="9101" width="44" style="2" customWidth="1"/>
    <col min="9102" max="9102" width="9.85546875" style="2" customWidth="1"/>
    <col min="9103" max="9103" width="12.42578125" style="2" customWidth="1"/>
    <col min="9104" max="9104" width="9.85546875" style="2" customWidth="1"/>
    <col min="9105" max="9105" width="8.7109375" style="2" customWidth="1"/>
    <col min="9106" max="9106" width="10.42578125" style="2" customWidth="1"/>
    <col min="9107" max="9355" width="10.140625" style="2"/>
    <col min="9356" max="9356" width="6" style="2" customWidth="1"/>
    <col min="9357" max="9357" width="44" style="2" customWidth="1"/>
    <col min="9358" max="9358" width="9.85546875" style="2" customWidth="1"/>
    <col min="9359" max="9359" width="12.42578125" style="2" customWidth="1"/>
    <col min="9360" max="9360" width="9.85546875" style="2" customWidth="1"/>
    <col min="9361" max="9361" width="8.7109375" style="2" customWidth="1"/>
    <col min="9362" max="9362" width="10.42578125" style="2" customWidth="1"/>
    <col min="9363" max="9611" width="10.140625" style="2"/>
    <col min="9612" max="9612" width="6" style="2" customWidth="1"/>
    <col min="9613" max="9613" width="44" style="2" customWidth="1"/>
    <col min="9614" max="9614" width="9.85546875" style="2" customWidth="1"/>
    <col min="9615" max="9615" width="12.42578125" style="2" customWidth="1"/>
    <col min="9616" max="9616" width="9.85546875" style="2" customWidth="1"/>
    <col min="9617" max="9617" width="8.7109375" style="2" customWidth="1"/>
    <col min="9618" max="9618" width="10.42578125" style="2" customWidth="1"/>
    <col min="9619" max="9867" width="10.140625" style="2"/>
    <col min="9868" max="9868" width="6" style="2" customWidth="1"/>
    <col min="9869" max="9869" width="44" style="2" customWidth="1"/>
    <col min="9870" max="9870" width="9.85546875" style="2" customWidth="1"/>
    <col min="9871" max="9871" width="12.42578125" style="2" customWidth="1"/>
    <col min="9872" max="9872" width="9.85546875" style="2" customWidth="1"/>
    <col min="9873" max="9873" width="8.7109375" style="2" customWidth="1"/>
    <col min="9874" max="9874" width="10.42578125" style="2" customWidth="1"/>
    <col min="9875" max="10123" width="10.140625" style="2"/>
    <col min="10124" max="10124" width="6" style="2" customWidth="1"/>
    <col min="10125" max="10125" width="44" style="2" customWidth="1"/>
    <col min="10126" max="10126" width="9.85546875" style="2" customWidth="1"/>
    <col min="10127" max="10127" width="12.42578125" style="2" customWidth="1"/>
    <col min="10128" max="10128" width="9.85546875" style="2" customWidth="1"/>
    <col min="10129" max="10129" width="8.7109375" style="2" customWidth="1"/>
    <col min="10130" max="10130" width="10.42578125" style="2" customWidth="1"/>
    <col min="10131" max="10379" width="10.140625" style="2"/>
    <col min="10380" max="10380" width="6" style="2" customWidth="1"/>
    <col min="10381" max="10381" width="44" style="2" customWidth="1"/>
    <col min="10382" max="10382" width="9.85546875" style="2" customWidth="1"/>
    <col min="10383" max="10383" width="12.42578125" style="2" customWidth="1"/>
    <col min="10384" max="10384" width="9.85546875" style="2" customWidth="1"/>
    <col min="10385" max="10385" width="8.7109375" style="2" customWidth="1"/>
    <col min="10386" max="10386" width="10.42578125" style="2" customWidth="1"/>
    <col min="10387" max="10635" width="10.140625" style="2"/>
    <col min="10636" max="10636" width="6" style="2" customWidth="1"/>
    <col min="10637" max="10637" width="44" style="2" customWidth="1"/>
    <col min="10638" max="10638" width="9.85546875" style="2" customWidth="1"/>
    <col min="10639" max="10639" width="12.42578125" style="2" customWidth="1"/>
    <col min="10640" max="10640" width="9.85546875" style="2" customWidth="1"/>
    <col min="10641" max="10641" width="8.7109375" style="2" customWidth="1"/>
    <col min="10642" max="10642" width="10.42578125" style="2" customWidth="1"/>
    <col min="10643" max="10891" width="10.140625" style="2"/>
    <col min="10892" max="10892" width="6" style="2" customWidth="1"/>
    <col min="10893" max="10893" width="44" style="2" customWidth="1"/>
    <col min="10894" max="10894" width="9.85546875" style="2" customWidth="1"/>
    <col min="10895" max="10895" width="12.42578125" style="2" customWidth="1"/>
    <col min="10896" max="10896" width="9.85546875" style="2" customWidth="1"/>
    <col min="10897" max="10897" width="8.7109375" style="2" customWidth="1"/>
    <col min="10898" max="10898" width="10.42578125" style="2" customWidth="1"/>
    <col min="10899" max="11147" width="10.140625" style="2"/>
    <col min="11148" max="11148" width="6" style="2" customWidth="1"/>
    <col min="11149" max="11149" width="44" style="2" customWidth="1"/>
    <col min="11150" max="11150" width="9.85546875" style="2" customWidth="1"/>
    <col min="11151" max="11151" width="12.42578125" style="2" customWidth="1"/>
    <col min="11152" max="11152" width="9.85546875" style="2" customWidth="1"/>
    <col min="11153" max="11153" width="8.7109375" style="2" customWidth="1"/>
    <col min="11154" max="11154" width="10.42578125" style="2" customWidth="1"/>
    <col min="11155" max="11403" width="10.140625" style="2"/>
    <col min="11404" max="11404" width="6" style="2" customWidth="1"/>
    <col min="11405" max="11405" width="44" style="2" customWidth="1"/>
    <col min="11406" max="11406" width="9.85546875" style="2" customWidth="1"/>
    <col min="11407" max="11407" width="12.42578125" style="2" customWidth="1"/>
    <col min="11408" max="11408" width="9.85546875" style="2" customWidth="1"/>
    <col min="11409" max="11409" width="8.7109375" style="2" customWidth="1"/>
    <col min="11410" max="11410" width="10.42578125" style="2" customWidth="1"/>
    <col min="11411" max="11659" width="10.140625" style="2"/>
    <col min="11660" max="11660" width="6" style="2" customWidth="1"/>
    <col min="11661" max="11661" width="44" style="2" customWidth="1"/>
    <col min="11662" max="11662" width="9.85546875" style="2" customWidth="1"/>
    <col min="11663" max="11663" width="12.42578125" style="2" customWidth="1"/>
    <col min="11664" max="11664" width="9.85546875" style="2" customWidth="1"/>
    <col min="11665" max="11665" width="8.7109375" style="2" customWidth="1"/>
    <col min="11666" max="11666" width="10.42578125" style="2" customWidth="1"/>
    <col min="11667" max="11915" width="10.140625" style="2"/>
    <col min="11916" max="11916" width="6" style="2" customWidth="1"/>
    <col min="11917" max="11917" width="44" style="2" customWidth="1"/>
    <col min="11918" max="11918" width="9.85546875" style="2" customWidth="1"/>
    <col min="11919" max="11919" width="12.42578125" style="2" customWidth="1"/>
    <col min="11920" max="11920" width="9.85546875" style="2" customWidth="1"/>
    <col min="11921" max="11921" width="8.7109375" style="2" customWidth="1"/>
    <col min="11922" max="11922" width="10.42578125" style="2" customWidth="1"/>
    <col min="11923" max="12171" width="10.140625" style="2"/>
    <col min="12172" max="12172" width="6" style="2" customWidth="1"/>
    <col min="12173" max="12173" width="44" style="2" customWidth="1"/>
    <col min="12174" max="12174" width="9.85546875" style="2" customWidth="1"/>
    <col min="12175" max="12175" width="12.42578125" style="2" customWidth="1"/>
    <col min="12176" max="12176" width="9.85546875" style="2" customWidth="1"/>
    <col min="12177" max="12177" width="8.7109375" style="2" customWidth="1"/>
    <col min="12178" max="12178" width="10.42578125" style="2" customWidth="1"/>
    <col min="12179" max="12427" width="10.140625" style="2"/>
    <col min="12428" max="12428" width="6" style="2" customWidth="1"/>
    <col min="12429" max="12429" width="44" style="2" customWidth="1"/>
    <col min="12430" max="12430" width="9.85546875" style="2" customWidth="1"/>
    <col min="12431" max="12431" width="12.42578125" style="2" customWidth="1"/>
    <col min="12432" max="12432" width="9.85546875" style="2" customWidth="1"/>
    <col min="12433" max="12433" width="8.7109375" style="2" customWidth="1"/>
    <col min="12434" max="12434" width="10.42578125" style="2" customWidth="1"/>
    <col min="12435" max="12683" width="10.140625" style="2"/>
    <col min="12684" max="12684" width="6" style="2" customWidth="1"/>
    <col min="12685" max="12685" width="44" style="2" customWidth="1"/>
    <col min="12686" max="12686" width="9.85546875" style="2" customWidth="1"/>
    <col min="12687" max="12687" width="12.42578125" style="2" customWidth="1"/>
    <col min="12688" max="12688" width="9.85546875" style="2" customWidth="1"/>
    <col min="12689" max="12689" width="8.7109375" style="2" customWidth="1"/>
    <col min="12690" max="12690" width="10.42578125" style="2" customWidth="1"/>
    <col min="12691" max="12939" width="10.140625" style="2"/>
    <col min="12940" max="12940" width="6" style="2" customWidth="1"/>
    <col min="12941" max="12941" width="44" style="2" customWidth="1"/>
    <col min="12942" max="12942" width="9.85546875" style="2" customWidth="1"/>
    <col min="12943" max="12943" width="12.42578125" style="2" customWidth="1"/>
    <col min="12944" max="12944" width="9.85546875" style="2" customWidth="1"/>
    <col min="12945" max="12945" width="8.7109375" style="2" customWidth="1"/>
    <col min="12946" max="12946" width="10.42578125" style="2" customWidth="1"/>
    <col min="12947" max="13195" width="10.140625" style="2"/>
    <col min="13196" max="13196" width="6" style="2" customWidth="1"/>
    <col min="13197" max="13197" width="44" style="2" customWidth="1"/>
    <col min="13198" max="13198" width="9.85546875" style="2" customWidth="1"/>
    <col min="13199" max="13199" width="12.42578125" style="2" customWidth="1"/>
    <col min="13200" max="13200" width="9.85546875" style="2" customWidth="1"/>
    <col min="13201" max="13201" width="8.7109375" style="2" customWidth="1"/>
    <col min="13202" max="13202" width="10.42578125" style="2" customWidth="1"/>
    <col min="13203" max="13451" width="10.140625" style="2"/>
    <col min="13452" max="13452" width="6" style="2" customWidth="1"/>
    <col min="13453" max="13453" width="44" style="2" customWidth="1"/>
    <col min="13454" max="13454" width="9.85546875" style="2" customWidth="1"/>
    <col min="13455" max="13455" width="12.42578125" style="2" customWidth="1"/>
    <col min="13456" max="13456" width="9.85546875" style="2" customWidth="1"/>
    <col min="13457" max="13457" width="8.7109375" style="2" customWidth="1"/>
    <col min="13458" max="13458" width="10.42578125" style="2" customWidth="1"/>
    <col min="13459" max="13707" width="10.140625" style="2"/>
    <col min="13708" max="13708" width="6" style="2" customWidth="1"/>
    <col min="13709" max="13709" width="44" style="2" customWidth="1"/>
    <col min="13710" max="13710" width="9.85546875" style="2" customWidth="1"/>
    <col min="13711" max="13711" width="12.42578125" style="2" customWidth="1"/>
    <col min="13712" max="13712" width="9.85546875" style="2" customWidth="1"/>
    <col min="13713" max="13713" width="8.7109375" style="2" customWidth="1"/>
    <col min="13714" max="13714" width="10.42578125" style="2" customWidth="1"/>
    <col min="13715" max="13963" width="10.140625" style="2"/>
    <col min="13964" max="13964" width="6" style="2" customWidth="1"/>
    <col min="13965" max="13965" width="44" style="2" customWidth="1"/>
    <col min="13966" max="13966" width="9.85546875" style="2" customWidth="1"/>
    <col min="13967" max="13967" width="12.42578125" style="2" customWidth="1"/>
    <col min="13968" max="13968" width="9.85546875" style="2" customWidth="1"/>
    <col min="13969" max="13969" width="8.7109375" style="2" customWidth="1"/>
    <col min="13970" max="13970" width="10.42578125" style="2" customWidth="1"/>
    <col min="13971" max="14219" width="10.140625" style="2"/>
    <col min="14220" max="14220" width="6" style="2" customWidth="1"/>
    <col min="14221" max="14221" width="44" style="2" customWidth="1"/>
    <col min="14222" max="14222" width="9.85546875" style="2" customWidth="1"/>
    <col min="14223" max="14223" width="12.42578125" style="2" customWidth="1"/>
    <col min="14224" max="14224" width="9.85546875" style="2" customWidth="1"/>
    <col min="14225" max="14225" width="8.7109375" style="2" customWidth="1"/>
    <col min="14226" max="14226" width="10.42578125" style="2" customWidth="1"/>
    <col min="14227" max="14475" width="10.140625" style="2"/>
    <col min="14476" max="14476" width="6" style="2" customWidth="1"/>
    <col min="14477" max="14477" width="44" style="2" customWidth="1"/>
    <col min="14478" max="14478" width="9.85546875" style="2" customWidth="1"/>
    <col min="14479" max="14479" width="12.42578125" style="2" customWidth="1"/>
    <col min="14480" max="14480" width="9.85546875" style="2" customWidth="1"/>
    <col min="14481" max="14481" width="8.7109375" style="2" customWidth="1"/>
    <col min="14482" max="14482" width="10.42578125" style="2" customWidth="1"/>
    <col min="14483" max="14731" width="10.140625" style="2"/>
    <col min="14732" max="14732" width="6" style="2" customWidth="1"/>
    <col min="14733" max="14733" width="44" style="2" customWidth="1"/>
    <col min="14734" max="14734" width="9.85546875" style="2" customWidth="1"/>
    <col min="14735" max="14735" width="12.42578125" style="2" customWidth="1"/>
    <col min="14736" max="14736" width="9.85546875" style="2" customWidth="1"/>
    <col min="14737" max="14737" width="8.7109375" style="2" customWidth="1"/>
    <col min="14738" max="14738" width="10.42578125" style="2" customWidth="1"/>
    <col min="14739" max="14987" width="10.140625" style="2"/>
    <col min="14988" max="14988" width="6" style="2" customWidth="1"/>
    <col min="14989" max="14989" width="44" style="2" customWidth="1"/>
    <col min="14990" max="14990" width="9.85546875" style="2" customWidth="1"/>
    <col min="14991" max="14991" width="12.42578125" style="2" customWidth="1"/>
    <col min="14992" max="14992" width="9.85546875" style="2" customWidth="1"/>
    <col min="14993" max="14993" width="8.7109375" style="2" customWidth="1"/>
    <col min="14994" max="14994" width="10.42578125" style="2" customWidth="1"/>
    <col min="14995" max="15243" width="10.140625" style="2"/>
    <col min="15244" max="15244" width="6" style="2" customWidth="1"/>
    <col min="15245" max="15245" width="44" style="2" customWidth="1"/>
    <col min="15246" max="15246" width="9.85546875" style="2" customWidth="1"/>
    <col min="15247" max="15247" width="12.42578125" style="2" customWidth="1"/>
    <col min="15248" max="15248" width="9.85546875" style="2" customWidth="1"/>
    <col min="15249" max="15249" width="8.7109375" style="2" customWidth="1"/>
    <col min="15250" max="15250" width="10.42578125" style="2" customWidth="1"/>
    <col min="15251" max="15499" width="10.140625" style="2"/>
    <col min="15500" max="15500" width="6" style="2" customWidth="1"/>
    <col min="15501" max="15501" width="44" style="2" customWidth="1"/>
    <col min="15502" max="15502" width="9.85546875" style="2" customWidth="1"/>
    <col min="15503" max="15503" width="12.42578125" style="2" customWidth="1"/>
    <col min="15504" max="15504" width="9.85546875" style="2" customWidth="1"/>
    <col min="15505" max="15505" width="8.7109375" style="2" customWidth="1"/>
    <col min="15506" max="15506" width="10.42578125" style="2" customWidth="1"/>
    <col min="15507" max="15755" width="10.140625" style="2"/>
    <col min="15756" max="15756" width="6" style="2" customWidth="1"/>
    <col min="15757" max="15757" width="44" style="2" customWidth="1"/>
    <col min="15758" max="15758" width="9.85546875" style="2" customWidth="1"/>
    <col min="15759" max="15759" width="12.42578125" style="2" customWidth="1"/>
    <col min="15760" max="15760" width="9.85546875" style="2" customWidth="1"/>
    <col min="15761" max="15761" width="8.7109375" style="2" customWidth="1"/>
    <col min="15762" max="15762" width="10.42578125" style="2" customWidth="1"/>
    <col min="15763" max="16011" width="10.140625" style="2"/>
    <col min="16012" max="16012" width="6" style="2" customWidth="1"/>
    <col min="16013" max="16013" width="44" style="2" customWidth="1"/>
    <col min="16014" max="16014" width="9.85546875" style="2" customWidth="1"/>
    <col min="16015" max="16015" width="12.42578125" style="2" customWidth="1"/>
    <col min="16016" max="16016" width="9.85546875" style="2" customWidth="1"/>
    <col min="16017" max="16017" width="8.7109375" style="2" customWidth="1"/>
    <col min="16018" max="16018" width="10.42578125" style="2" customWidth="1"/>
    <col min="16019" max="16384" width="10.140625" style="2"/>
  </cols>
  <sheetData>
    <row r="1" spans="1:12" ht="12.75" x14ac:dyDescent="0.2">
      <c r="A1" s="97" t="s">
        <v>163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1:12" ht="12.75" x14ac:dyDescent="0.2">
      <c r="A2" s="97"/>
      <c r="B2" s="98"/>
      <c r="C2" s="98"/>
      <c r="D2" s="98"/>
      <c r="E2" s="98"/>
      <c r="F2" s="98"/>
      <c r="G2" s="98"/>
      <c r="H2" s="98"/>
      <c r="I2" s="98"/>
      <c r="J2" s="98"/>
      <c r="K2" s="98" t="s">
        <v>353</v>
      </c>
      <c r="L2" s="98"/>
    </row>
    <row r="3" spans="1:12" ht="12.75" x14ac:dyDescent="0.2">
      <c r="A3" s="124" t="s">
        <v>0</v>
      </c>
      <c r="B3" s="124" t="s">
        <v>164</v>
      </c>
      <c r="C3" s="125" t="s">
        <v>286</v>
      </c>
      <c r="D3" s="125" t="s">
        <v>272</v>
      </c>
      <c r="E3" s="125" t="s">
        <v>354</v>
      </c>
      <c r="F3" s="126" t="s">
        <v>283</v>
      </c>
      <c r="G3" s="127" t="s">
        <v>273</v>
      </c>
      <c r="H3" s="127"/>
      <c r="I3" s="127"/>
      <c r="J3" s="127"/>
      <c r="K3" s="127"/>
      <c r="L3" s="127"/>
    </row>
    <row r="4" spans="1:12" ht="13.5" customHeight="1" x14ac:dyDescent="0.2">
      <c r="A4" s="124"/>
      <c r="B4" s="124"/>
      <c r="C4" s="125"/>
      <c r="D4" s="125"/>
      <c r="E4" s="125"/>
      <c r="F4" s="126"/>
      <c r="G4" s="125" t="s">
        <v>165</v>
      </c>
      <c r="H4" s="125"/>
      <c r="I4" s="125"/>
      <c r="J4" s="125"/>
      <c r="K4" s="125" t="s">
        <v>166</v>
      </c>
      <c r="L4" s="125"/>
    </row>
    <row r="5" spans="1:12" ht="15.75" customHeight="1" x14ac:dyDescent="0.2">
      <c r="A5" s="124"/>
      <c r="B5" s="124"/>
      <c r="C5" s="125"/>
      <c r="D5" s="125"/>
      <c r="E5" s="125"/>
      <c r="F5" s="126"/>
      <c r="G5" s="125" t="s">
        <v>280</v>
      </c>
      <c r="H5" s="125" t="s">
        <v>272</v>
      </c>
      <c r="I5" s="125" t="s">
        <v>275</v>
      </c>
      <c r="J5" s="125"/>
      <c r="K5" s="125" t="s">
        <v>280</v>
      </c>
      <c r="L5" s="125" t="s">
        <v>272</v>
      </c>
    </row>
    <row r="6" spans="1:12" ht="51.75" customHeight="1" x14ac:dyDescent="0.2">
      <c r="A6" s="124"/>
      <c r="B6" s="124"/>
      <c r="C6" s="125"/>
      <c r="D6" s="125"/>
      <c r="E6" s="125"/>
      <c r="F6" s="126"/>
      <c r="G6" s="125"/>
      <c r="H6" s="125"/>
      <c r="I6" s="99" t="s">
        <v>280</v>
      </c>
      <c r="J6" s="99" t="s">
        <v>272</v>
      </c>
      <c r="K6" s="125"/>
      <c r="L6" s="125"/>
    </row>
    <row r="7" spans="1:12" ht="14.45" customHeight="1" x14ac:dyDescent="0.2">
      <c r="A7" s="100">
        <v>1</v>
      </c>
      <c r="B7" s="101">
        <v>2</v>
      </c>
      <c r="C7" s="100">
        <v>3</v>
      </c>
      <c r="D7" s="101">
        <v>4</v>
      </c>
      <c r="E7" s="100">
        <v>5</v>
      </c>
      <c r="F7" s="101">
        <v>6</v>
      </c>
      <c r="G7" s="100">
        <v>7</v>
      </c>
      <c r="H7" s="101">
        <v>8</v>
      </c>
      <c r="I7" s="100">
        <v>9</v>
      </c>
      <c r="J7" s="101">
        <v>10</v>
      </c>
      <c r="K7" s="100">
        <v>11</v>
      </c>
      <c r="L7" s="101">
        <v>12</v>
      </c>
    </row>
    <row r="8" spans="1:12" ht="17.100000000000001" customHeight="1" x14ac:dyDescent="0.2">
      <c r="A8" s="102">
        <v>1</v>
      </c>
      <c r="B8" s="103" t="s">
        <v>167</v>
      </c>
      <c r="C8" s="96">
        <f>+C9</f>
        <v>130242</v>
      </c>
      <c r="D8" s="96">
        <f>+D9</f>
        <v>128319</v>
      </c>
      <c r="E8" s="96">
        <f>+D8-C8</f>
        <v>-1923</v>
      </c>
      <c r="F8" s="104">
        <f>+D8/C8*100</f>
        <v>98.5</v>
      </c>
      <c r="G8" s="96">
        <v>130242</v>
      </c>
      <c r="H8" s="96">
        <v>128319</v>
      </c>
      <c r="I8" s="96">
        <f>+I9</f>
        <v>92910</v>
      </c>
      <c r="J8" s="96">
        <f>+J9</f>
        <v>91457</v>
      </c>
      <c r="K8" s="96">
        <f>+K9</f>
        <v>0</v>
      </c>
      <c r="L8" s="96">
        <f>+L9</f>
        <v>0</v>
      </c>
    </row>
    <row r="9" spans="1:12" ht="27.95" customHeight="1" x14ac:dyDescent="0.2">
      <c r="A9" s="102">
        <v>2</v>
      </c>
      <c r="B9" s="103" t="s">
        <v>448</v>
      </c>
      <c r="C9" s="105">
        <f>+G9+K9</f>
        <v>130242</v>
      </c>
      <c r="D9" s="105">
        <f t="shared" ref="D9:D73" si="0">+H9+L9</f>
        <v>128319</v>
      </c>
      <c r="E9" s="105">
        <f t="shared" ref="E9:E73" si="1">+D9-C9</f>
        <v>-1923</v>
      </c>
      <c r="F9" s="106">
        <f t="shared" ref="F9:F73" si="2">+D9/C9*100</f>
        <v>98.5</v>
      </c>
      <c r="G9" s="105">
        <v>130242</v>
      </c>
      <c r="H9" s="105">
        <v>128319</v>
      </c>
      <c r="I9" s="105">
        <v>92910</v>
      </c>
      <c r="J9" s="105">
        <v>91457</v>
      </c>
      <c r="K9" s="105"/>
      <c r="L9" s="105"/>
    </row>
    <row r="10" spans="1:12" ht="14.45" customHeight="1" x14ac:dyDescent="0.2">
      <c r="A10" s="102">
        <v>3</v>
      </c>
      <c r="B10" s="103" t="s">
        <v>8</v>
      </c>
      <c r="C10" s="96">
        <f>+C11+C12+C48+C49+C50+C51</f>
        <v>17934503</v>
      </c>
      <c r="D10" s="96">
        <f>+D11+D12+D48+D49+D50+D51</f>
        <v>16946596</v>
      </c>
      <c r="E10" s="96">
        <f>+E11+E12+E48+E49+E50+E51</f>
        <v>-987907</v>
      </c>
      <c r="F10" s="104">
        <f t="shared" si="2"/>
        <v>94.5</v>
      </c>
      <c r="G10" s="96">
        <f t="shared" ref="G10:L10" si="3">+G11+G12+G48+G49+G50+G51</f>
        <v>8840278</v>
      </c>
      <c r="H10" s="96">
        <f t="shared" si="3"/>
        <v>8110660</v>
      </c>
      <c r="I10" s="96">
        <f t="shared" si="3"/>
        <v>4226765</v>
      </c>
      <c r="J10" s="96">
        <f t="shared" si="3"/>
        <v>4199513</v>
      </c>
      <c r="K10" s="96">
        <f t="shared" si="3"/>
        <v>9094225</v>
      </c>
      <c r="L10" s="96">
        <f t="shared" si="3"/>
        <v>8835936</v>
      </c>
    </row>
    <row r="11" spans="1:12" ht="27.95" customHeight="1" x14ac:dyDescent="0.2">
      <c r="A11" s="102">
        <v>4</v>
      </c>
      <c r="B11" s="103" t="s">
        <v>449</v>
      </c>
      <c r="C11" s="96">
        <f>+G11+K11</f>
        <v>13033</v>
      </c>
      <c r="D11" s="96">
        <f t="shared" si="0"/>
        <v>12756</v>
      </c>
      <c r="E11" s="96">
        <f t="shared" si="1"/>
        <v>-277</v>
      </c>
      <c r="F11" s="104">
        <f t="shared" si="2"/>
        <v>97.9</v>
      </c>
      <c r="G11" s="96">
        <v>13033</v>
      </c>
      <c r="H11" s="96">
        <v>12756</v>
      </c>
      <c r="I11" s="96">
        <v>0</v>
      </c>
      <c r="J11" s="96"/>
      <c r="K11" s="96">
        <v>0</v>
      </c>
      <c r="L11" s="96"/>
    </row>
    <row r="12" spans="1:12" ht="17.45" customHeight="1" x14ac:dyDescent="0.2">
      <c r="A12" s="102">
        <v>5</v>
      </c>
      <c r="B12" s="103" t="s">
        <v>168</v>
      </c>
      <c r="C12" s="96">
        <f>+C14+C15+C16+C17+C18+C19+C40+C45+C46+C47</f>
        <v>17096583</v>
      </c>
      <c r="D12" s="96">
        <f t="shared" ref="D12:L12" si="4">+D14+D15+D16+D17+D18+D19+D40+D45+D46+D47</f>
        <v>16250881</v>
      </c>
      <c r="E12" s="96">
        <f t="shared" si="4"/>
        <v>-845702</v>
      </c>
      <c r="F12" s="104">
        <f>+D12/C12*100</f>
        <v>95.1</v>
      </c>
      <c r="G12" s="96">
        <f t="shared" si="4"/>
        <v>8523674</v>
      </c>
      <c r="H12" s="96">
        <f t="shared" si="4"/>
        <v>7811445</v>
      </c>
      <c r="I12" s="96">
        <f t="shared" si="4"/>
        <v>4226765</v>
      </c>
      <c r="J12" s="96">
        <f t="shared" si="4"/>
        <v>4199513</v>
      </c>
      <c r="K12" s="96">
        <f t="shared" si="4"/>
        <v>8572909</v>
      </c>
      <c r="L12" s="96">
        <f t="shared" si="4"/>
        <v>8439436</v>
      </c>
    </row>
    <row r="13" spans="1:12" ht="12.75" x14ac:dyDescent="0.2">
      <c r="A13" s="102">
        <v>6</v>
      </c>
      <c r="B13" s="101" t="s">
        <v>3</v>
      </c>
      <c r="C13" s="96">
        <f t="shared" ref="C13:C18" si="5">+G13+K13</f>
        <v>0</v>
      </c>
      <c r="D13" s="105">
        <f t="shared" si="0"/>
        <v>0</v>
      </c>
      <c r="E13" s="105">
        <f t="shared" si="1"/>
        <v>0</v>
      </c>
      <c r="F13" s="106"/>
      <c r="G13" s="105">
        <v>0</v>
      </c>
      <c r="H13" s="105"/>
      <c r="I13" s="105">
        <v>0</v>
      </c>
      <c r="J13" s="105"/>
      <c r="K13" s="105">
        <v>0</v>
      </c>
      <c r="L13" s="105"/>
    </row>
    <row r="14" spans="1:12" ht="28.5" customHeight="1" x14ac:dyDescent="0.2">
      <c r="A14" s="102">
        <v>7</v>
      </c>
      <c r="B14" s="107" t="s">
        <v>169</v>
      </c>
      <c r="C14" s="105">
        <f t="shared" si="5"/>
        <v>251177</v>
      </c>
      <c r="D14" s="105">
        <f t="shared" si="0"/>
        <v>237987</v>
      </c>
      <c r="E14" s="105">
        <f t="shared" si="1"/>
        <v>-13190</v>
      </c>
      <c r="F14" s="106">
        <f t="shared" si="2"/>
        <v>94.7</v>
      </c>
      <c r="G14" s="105">
        <v>251177</v>
      </c>
      <c r="H14" s="105">
        <v>237987</v>
      </c>
      <c r="I14" s="105">
        <v>93829</v>
      </c>
      <c r="J14" s="105">
        <v>93828</v>
      </c>
      <c r="K14" s="105"/>
      <c r="L14" s="105"/>
    </row>
    <row r="15" spans="1:12" ht="28.5" customHeight="1" x14ac:dyDescent="0.2">
      <c r="A15" s="102">
        <v>8</v>
      </c>
      <c r="B15" s="107" t="s">
        <v>170</v>
      </c>
      <c r="C15" s="105">
        <f t="shared" si="5"/>
        <v>106748</v>
      </c>
      <c r="D15" s="105">
        <f t="shared" si="0"/>
        <v>105243</v>
      </c>
      <c r="E15" s="105">
        <f t="shared" si="1"/>
        <v>-1505</v>
      </c>
      <c r="F15" s="106">
        <f t="shared" si="2"/>
        <v>98.6</v>
      </c>
      <c r="G15" s="105">
        <v>99226</v>
      </c>
      <c r="H15" s="105">
        <v>97721</v>
      </c>
      <c r="I15" s="105">
        <v>72565</v>
      </c>
      <c r="J15" s="105">
        <v>71503</v>
      </c>
      <c r="K15" s="105">
        <v>7522</v>
      </c>
      <c r="L15" s="108">
        <v>7522</v>
      </c>
    </row>
    <row r="16" spans="1:12" ht="30.6" customHeight="1" x14ac:dyDescent="0.2">
      <c r="A16" s="102">
        <v>9</v>
      </c>
      <c r="B16" s="107" t="s">
        <v>171</v>
      </c>
      <c r="C16" s="105">
        <f t="shared" si="5"/>
        <v>15940758</v>
      </c>
      <c r="D16" s="105">
        <f t="shared" si="0"/>
        <v>15165904</v>
      </c>
      <c r="E16" s="105">
        <f t="shared" si="1"/>
        <v>-774854</v>
      </c>
      <c r="F16" s="106">
        <f t="shared" si="2"/>
        <v>95.1</v>
      </c>
      <c r="G16" s="105">
        <v>7381017</v>
      </c>
      <c r="H16" s="105">
        <v>6739607</v>
      </c>
      <c r="I16" s="105">
        <v>3599650</v>
      </c>
      <c r="J16" s="105">
        <v>3587169</v>
      </c>
      <c r="K16" s="105">
        <v>8559741</v>
      </c>
      <c r="L16" s="105">
        <v>8426297</v>
      </c>
    </row>
    <row r="17" spans="1:12" ht="24" customHeight="1" x14ac:dyDescent="0.2">
      <c r="A17" s="102">
        <v>10</v>
      </c>
      <c r="B17" s="107" t="s">
        <v>172</v>
      </c>
      <c r="C17" s="105">
        <f t="shared" si="5"/>
        <v>28962</v>
      </c>
      <c r="D17" s="105">
        <f t="shared" si="0"/>
        <v>0</v>
      </c>
      <c r="E17" s="105">
        <f t="shared" si="1"/>
        <v>-28962</v>
      </c>
      <c r="F17" s="106">
        <f t="shared" si="2"/>
        <v>0</v>
      </c>
      <c r="G17" s="105">
        <v>28962</v>
      </c>
      <c r="H17" s="105"/>
      <c r="I17" s="105"/>
      <c r="J17" s="105"/>
      <c r="K17" s="105"/>
      <c r="L17" s="105"/>
    </row>
    <row r="18" spans="1:12" s="18" customFormat="1" ht="29.45" customHeight="1" x14ac:dyDescent="0.2">
      <c r="A18" s="102">
        <v>11</v>
      </c>
      <c r="B18" s="107" t="s">
        <v>173</v>
      </c>
      <c r="C18" s="105">
        <f t="shared" si="5"/>
        <v>4478</v>
      </c>
      <c r="D18" s="105">
        <f t="shared" si="0"/>
        <v>7487</v>
      </c>
      <c r="E18" s="105">
        <f t="shared" si="1"/>
        <v>3009</v>
      </c>
      <c r="F18" s="106">
        <f t="shared" si="2"/>
        <v>167.2</v>
      </c>
      <c r="G18" s="105">
        <v>4478</v>
      </c>
      <c r="H18" s="105">
        <f>4306+3181</f>
        <v>7487</v>
      </c>
      <c r="I18" s="105"/>
      <c r="J18" s="105"/>
      <c r="K18" s="105"/>
      <c r="L18" s="105"/>
    </row>
    <row r="19" spans="1:12" s="18" customFormat="1" ht="45.6" customHeight="1" x14ac:dyDescent="0.2">
      <c r="A19" s="102">
        <v>12</v>
      </c>
      <c r="B19" s="107" t="s">
        <v>174</v>
      </c>
      <c r="C19" s="105">
        <f>+C21+C22+C23+C24+C25+C26+C27+C28+C29+C30+C31+C32+C33+C34+C35+C36+C37+C38+C39</f>
        <v>686438</v>
      </c>
      <c r="D19" s="105">
        <f t="shared" ref="D19:L19" si="6">+D21+D22+D23+D24+D25+D26+D27+D28+D29+D30+D31+D32+D33+D34+D35+D36+D37+D38+D39</f>
        <v>661285</v>
      </c>
      <c r="E19" s="105">
        <f t="shared" si="6"/>
        <v>-25153</v>
      </c>
      <c r="F19" s="106">
        <f t="shared" si="2"/>
        <v>96.3</v>
      </c>
      <c r="G19" s="105">
        <f t="shared" si="6"/>
        <v>680792</v>
      </c>
      <c r="H19" s="105">
        <f t="shared" si="6"/>
        <v>655668</v>
      </c>
      <c r="I19" s="105">
        <f t="shared" si="6"/>
        <v>448807</v>
      </c>
      <c r="J19" s="105">
        <f t="shared" si="6"/>
        <v>435857</v>
      </c>
      <c r="K19" s="105">
        <f t="shared" si="6"/>
        <v>5646</v>
      </c>
      <c r="L19" s="105">
        <f t="shared" si="6"/>
        <v>5617</v>
      </c>
    </row>
    <row r="20" spans="1:12" s="18" customFormat="1" ht="12.95" customHeight="1" x14ac:dyDescent="0.2">
      <c r="A20" s="102">
        <v>13</v>
      </c>
      <c r="B20" s="101" t="s">
        <v>3</v>
      </c>
      <c r="C20" s="105">
        <f t="shared" ref="C20:C39" si="7">+G20+K20</f>
        <v>0</v>
      </c>
      <c r="D20" s="105">
        <f t="shared" si="0"/>
        <v>0</v>
      </c>
      <c r="E20" s="105">
        <f t="shared" si="1"/>
        <v>0</v>
      </c>
      <c r="F20" s="106"/>
      <c r="G20" s="105">
        <v>0</v>
      </c>
      <c r="H20" s="105"/>
      <c r="I20" s="105">
        <v>0</v>
      </c>
      <c r="J20" s="105"/>
      <c r="K20" s="105">
        <v>0</v>
      </c>
      <c r="L20" s="105"/>
    </row>
    <row r="21" spans="1:12" s="18" customFormat="1" ht="18.95" customHeight="1" x14ac:dyDescent="0.2">
      <c r="A21" s="102">
        <v>14</v>
      </c>
      <c r="B21" s="107" t="s">
        <v>129</v>
      </c>
      <c r="C21" s="105">
        <f t="shared" si="7"/>
        <v>579</v>
      </c>
      <c r="D21" s="105">
        <f t="shared" si="0"/>
        <v>533</v>
      </c>
      <c r="E21" s="105">
        <f t="shared" si="1"/>
        <v>-46</v>
      </c>
      <c r="F21" s="106">
        <f t="shared" si="2"/>
        <v>92.1</v>
      </c>
      <c r="G21" s="105">
        <v>579</v>
      </c>
      <c r="H21" s="105">
        <v>533</v>
      </c>
      <c r="I21" s="105">
        <v>442</v>
      </c>
      <c r="J21" s="105">
        <v>407</v>
      </c>
      <c r="K21" s="105"/>
      <c r="L21" s="105"/>
    </row>
    <row r="22" spans="1:12" s="18" customFormat="1" ht="13.5" customHeight="1" x14ac:dyDescent="0.2">
      <c r="A22" s="102">
        <v>15</v>
      </c>
      <c r="B22" s="107" t="s">
        <v>130</v>
      </c>
      <c r="C22" s="105">
        <f t="shared" si="7"/>
        <v>15959</v>
      </c>
      <c r="D22" s="105">
        <f t="shared" si="0"/>
        <v>15882</v>
      </c>
      <c r="E22" s="105">
        <f t="shared" si="1"/>
        <v>-77</v>
      </c>
      <c r="F22" s="106">
        <f t="shared" si="2"/>
        <v>99.5</v>
      </c>
      <c r="G22" s="105">
        <v>15959</v>
      </c>
      <c r="H22" s="105">
        <v>15882</v>
      </c>
      <c r="I22" s="105">
        <v>10888</v>
      </c>
      <c r="J22" s="105">
        <v>10860</v>
      </c>
      <c r="K22" s="105"/>
      <c r="L22" s="105"/>
    </row>
    <row r="23" spans="1:12" s="18" customFormat="1" ht="16.5" customHeight="1" x14ac:dyDescent="0.2">
      <c r="A23" s="102">
        <v>16</v>
      </c>
      <c r="B23" s="107" t="s">
        <v>131</v>
      </c>
      <c r="C23" s="105">
        <f t="shared" si="7"/>
        <v>10400</v>
      </c>
      <c r="D23" s="105">
        <f t="shared" si="0"/>
        <v>9880</v>
      </c>
      <c r="E23" s="105">
        <f t="shared" si="1"/>
        <v>-520</v>
      </c>
      <c r="F23" s="106">
        <f t="shared" si="2"/>
        <v>95</v>
      </c>
      <c r="G23" s="105">
        <v>10400</v>
      </c>
      <c r="H23" s="105">
        <v>9880</v>
      </c>
      <c r="I23" s="105">
        <v>7960</v>
      </c>
      <c r="J23" s="105">
        <v>7557</v>
      </c>
      <c r="K23" s="105"/>
      <c r="L23" s="105"/>
    </row>
    <row r="24" spans="1:12" s="18" customFormat="1" ht="17.25" customHeight="1" x14ac:dyDescent="0.2">
      <c r="A24" s="102">
        <v>17</v>
      </c>
      <c r="B24" s="107" t="s">
        <v>132</v>
      </c>
      <c r="C24" s="105">
        <f t="shared" si="7"/>
        <v>68496</v>
      </c>
      <c r="D24" s="105">
        <f t="shared" si="0"/>
        <v>68435</v>
      </c>
      <c r="E24" s="105">
        <f t="shared" si="1"/>
        <v>-61</v>
      </c>
      <c r="F24" s="106">
        <f t="shared" si="2"/>
        <v>99.9</v>
      </c>
      <c r="G24" s="105">
        <v>68496</v>
      </c>
      <c r="H24" s="105">
        <v>68435</v>
      </c>
      <c r="I24" s="105">
        <v>40829</v>
      </c>
      <c r="J24" s="105">
        <v>40786</v>
      </c>
      <c r="K24" s="105"/>
      <c r="L24" s="105"/>
    </row>
    <row r="25" spans="1:12" s="18" customFormat="1" ht="17.25" customHeight="1" x14ac:dyDescent="0.2">
      <c r="A25" s="102">
        <v>18</v>
      </c>
      <c r="B25" s="107" t="s">
        <v>133</v>
      </c>
      <c r="C25" s="105">
        <f t="shared" si="7"/>
        <v>31221</v>
      </c>
      <c r="D25" s="105">
        <f t="shared" si="0"/>
        <v>28160</v>
      </c>
      <c r="E25" s="105">
        <f t="shared" si="1"/>
        <v>-3061</v>
      </c>
      <c r="F25" s="106">
        <f t="shared" si="2"/>
        <v>90.2</v>
      </c>
      <c r="G25" s="105">
        <v>31221</v>
      </c>
      <c r="H25" s="105">
        <v>28160</v>
      </c>
      <c r="I25" s="105">
        <v>19086</v>
      </c>
      <c r="J25" s="105">
        <v>18645</v>
      </c>
      <c r="K25" s="105"/>
      <c r="L25" s="105"/>
    </row>
    <row r="26" spans="1:12" s="18" customFormat="1" ht="17.25" customHeight="1" x14ac:dyDescent="0.2">
      <c r="A26" s="102">
        <v>19</v>
      </c>
      <c r="B26" s="107" t="s">
        <v>134</v>
      </c>
      <c r="C26" s="105">
        <f t="shared" si="7"/>
        <v>84569</v>
      </c>
      <c r="D26" s="105">
        <f t="shared" si="0"/>
        <v>84269</v>
      </c>
      <c r="E26" s="105">
        <f t="shared" si="1"/>
        <v>-300</v>
      </c>
      <c r="F26" s="106">
        <f t="shared" si="2"/>
        <v>99.6</v>
      </c>
      <c r="G26" s="105">
        <v>84569</v>
      </c>
      <c r="H26" s="105">
        <v>84269</v>
      </c>
      <c r="I26" s="105">
        <v>64566</v>
      </c>
      <c r="J26" s="105">
        <v>64337</v>
      </c>
      <c r="K26" s="105"/>
      <c r="L26" s="105"/>
    </row>
    <row r="27" spans="1:12" s="18" customFormat="1" ht="16.5" customHeight="1" x14ac:dyDescent="0.2">
      <c r="A27" s="102">
        <v>20</v>
      </c>
      <c r="B27" s="107" t="s">
        <v>135</v>
      </c>
      <c r="C27" s="105">
        <f t="shared" si="7"/>
        <v>15697</v>
      </c>
      <c r="D27" s="105">
        <f t="shared" si="0"/>
        <v>15485</v>
      </c>
      <c r="E27" s="105">
        <f t="shared" si="1"/>
        <v>-212</v>
      </c>
      <c r="F27" s="106">
        <f t="shared" si="2"/>
        <v>98.6</v>
      </c>
      <c r="G27" s="105">
        <v>15697</v>
      </c>
      <c r="H27" s="105">
        <v>15485</v>
      </c>
      <c r="I27" s="105">
        <v>11984</v>
      </c>
      <c r="J27" s="105">
        <v>11823</v>
      </c>
      <c r="K27" s="105"/>
      <c r="L27" s="105"/>
    </row>
    <row r="28" spans="1:12" s="18" customFormat="1" ht="17.25" customHeight="1" x14ac:dyDescent="0.2">
      <c r="A28" s="102">
        <v>21</v>
      </c>
      <c r="B28" s="107" t="s">
        <v>136</v>
      </c>
      <c r="C28" s="105">
        <f t="shared" si="7"/>
        <v>64095</v>
      </c>
      <c r="D28" s="105">
        <f t="shared" si="0"/>
        <v>63994</v>
      </c>
      <c r="E28" s="105">
        <f t="shared" si="1"/>
        <v>-101</v>
      </c>
      <c r="F28" s="106">
        <f t="shared" si="2"/>
        <v>99.8</v>
      </c>
      <c r="G28" s="105">
        <v>64095</v>
      </c>
      <c r="H28" s="105">
        <v>63994</v>
      </c>
      <c r="I28" s="105">
        <v>30372</v>
      </c>
      <c r="J28" s="105">
        <v>30372</v>
      </c>
      <c r="K28" s="105"/>
      <c r="L28" s="105"/>
    </row>
    <row r="29" spans="1:12" s="18" customFormat="1" ht="27.6" customHeight="1" x14ac:dyDescent="0.2">
      <c r="A29" s="102">
        <v>22</v>
      </c>
      <c r="B29" s="107" t="s">
        <v>137</v>
      </c>
      <c r="C29" s="105">
        <f t="shared" si="7"/>
        <v>2462</v>
      </c>
      <c r="D29" s="105">
        <f t="shared" si="0"/>
        <v>2448</v>
      </c>
      <c r="E29" s="105">
        <f t="shared" si="1"/>
        <v>-14</v>
      </c>
      <c r="F29" s="106">
        <f t="shared" si="2"/>
        <v>99.4</v>
      </c>
      <c r="G29" s="105">
        <v>2462</v>
      </c>
      <c r="H29" s="105">
        <v>2448</v>
      </c>
      <c r="I29" s="105"/>
      <c r="J29" s="105"/>
      <c r="K29" s="105"/>
      <c r="L29" s="105"/>
    </row>
    <row r="30" spans="1:12" s="18" customFormat="1" ht="27.95" customHeight="1" x14ac:dyDescent="0.2">
      <c r="A30" s="102">
        <v>23</v>
      </c>
      <c r="B30" s="107" t="s">
        <v>138</v>
      </c>
      <c r="C30" s="105">
        <f t="shared" si="7"/>
        <v>602</v>
      </c>
      <c r="D30" s="105">
        <f t="shared" si="0"/>
        <v>575</v>
      </c>
      <c r="E30" s="105">
        <f t="shared" si="1"/>
        <v>-27</v>
      </c>
      <c r="F30" s="106">
        <f t="shared" si="2"/>
        <v>95.5</v>
      </c>
      <c r="G30" s="105">
        <v>602</v>
      </c>
      <c r="H30" s="105">
        <v>575</v>
      </c>
      <c r="I30" s="105">
        <v>460</v>
      </c>
      <c r="J30" s="105">
        <v>439</v>
      </c>
      <c r="K30" s="105"/>
      <c r="L30" s="105"/>
    </row>
    <row r="31" spans="1:12" s="18" customFormat="1" ht="38.25" x14ac:dyDescent="0.2">
      <c r="A31" s="102">
        <v>24</v>
      </c>
      <c r="B31" s="107" t="s">
        <v>305</v>
      </c>
      <c r="C31" s="105">
        <f t="shared" si="7"/>
        <v>1400</v>
      </c>
      <c r="D31" s="105">
        <f t="shared" si="0"/>
        <v>724</v>
      </c>
      <c r="E31" s="105">
        <f t="shared" si="1"/>
        <v>-676</v>
      </c>
      <c r="F31" s="106">
        <f t="shared" si="2"/>
        <v>51.7</v>
      </c>
      <c r="G31" s="105">
        <v>1400</v>
      </c>
      <c r="H31" s="105">
        <v>724</v>
      </c>
      <c r="I31" s="105">
        <v>1069</v>
      </c>
      <c r="J31" s="105">
        <v>548</v>
      </c>
      <c r="K31" s="105"/>
      <c r="L31" s="105"/>
    </row>
    <row r="32" spans="1:12" s="18" customFormat="1" ht="12.6" customHeight="1" x14ac:dyDescent="0.2">
      <c r="A32" s="102">
        <v>25</v>
      </c>
      <c r="B32" s="107" t="s">
        <v>175</v>
      </c>
      <c r="C32" s="105">
        <f t="shared" si="7"/>
        <v>255880</v>
      </c>
      <c r="D32" s="105">
        <f t="shared" si="0"/>
        <v>254900</v>
      </c>
      <c r="E32" s="105">
        <f t="shared" si="1"/>
        <v>-980</v>
      </c>
      <c r="F32" s="106">
        <f t="shared" si="2"/>
        <v>99.6</v>
      </c>
      <c r="G32" s="105">
        <v>255880</v>
      </c>
      <c r="H32" s="105">
        <v>254900</v>
      </c>
      <c r="I32" s="105">
        <v>177956</v>
      </c>
      <c r="J32" s="105">
        <v>177533</v>
      </c>
      <c r="K32" s="105"/>
      <c r="L32" s="105"/>
    </row>
    <row r="33" spans="1:12" s="18" customFormat="1" ht="12.75" x14ac:dyDescent="0.2">
      <c r="A33" s="102">
        <v>26</v>
      </c>
      <c r="B33" s="109" t="s">
        <v>176</v>
      </c>
      <c r="C33" s="105">
        <f t="shared" si="7"/>
        <v>12624</v>
      </c>
      <c r="D33" s="105">
        <f t="shared" si="0"/>
        <v>11961</v>
      </c>
      <c r="E33" s="105">
        <f t="shared" si="1"/>
        <v>-663</v>
      </c>
      <c r="F33" s="106">
        <f t="shared" si="2"/>
        <v>94.7</v>
      </c>
      <c r="G33" s="105">
        <v>12624</v>
      </c>
      <c r="H33" s="105">
        <v>11961</v>
      </c>
      <c r="I33" s="105">
        <v>8353</v>
      </c>
      <c r="J33" s="105">
        <v>7841</v>
      </c>
      <c r="K33" s="105"/>
      <c r="L33" s="105"/>
    </row>
    <row r="34" spans="1:12" s="18" customFormat="1" ht="38.25" x14ac:dyDescent="0.2">
      <c r="A34" s="102">
        <v>27</v>
      </c>
      <c r="B34" s="107" t="s">
        <v>177</v>
      </c>
      <c r="C34" s="105">
        <f t="shared" si="7"/>
        <v>17066</v>
      </c>
      <c r="D34" s="105">
        <f t="shared" si="0"/>
        <v>16916</v>
      </c>
      <c r="E34" s="105">
        <f t="shared" si="1"/>
        <v>-150</v>
      </c>
      <c r="F34" s="106">
        <f t="shared" si="2"/>
        <v>99.1</v>
      </c>
      <c r="G34" s="105">
        <v>17066</v>
      </c>
      <c r="H34" s="105">
        <f>16915+1</f>
        <v>16916</v>
      </c>
      <c r="I34" s="105">
        <v>11585</v>
      </c>
      <c r="J34" s="105">
        <v>11477</v>
      </c>
      <c r="K34" s="105"/>
      <c r="L34" s="105"/>
    </row>
    <row r="35" spans="1:12" s="18" customFormat="1" ht="19.5" customHeight="1" x14ac:dyDescent="0.2">
      <c r="A35" s="102">
        <v>28</v>
      </c>
      <c r="B35" s="107" t="s">
        <v>178</v>
      </c>
      <c r="C35" s="105">
        <f t="shared" si="7"/>
        <v>52699</v>
      </c>
      <c r="D35" s="105">
        <f t="shared" si="0"/>
        <v>49916</v>
      </c>
      <c r="E35" s="105">
        <f t="shared" si="1"/>
        <v>-2783</v>
      </c>
      <c r="F35" s="106">
        <f t="shared" si="2"/>
        <v>94.7</v>
      </c>
      <c r="G35" s="105">
        <v>50818</v>
      </c>
      <c r="H35" s="105">
        <v>48036</v>
      </c>
      <c r="I35" s="105">
        <v>31858</v>
      </c>
      <c r="J35" s="105">
        <v>31267</v>
      </c>
      <c r="K35" s="105">
        <v>1881</v>
      </c>
      <c r="L35" s="105">
        <v>1880</v>
      </c>
    </row>
    <row r="36" spans="1:12" s="18" customFormat="1" ht="26.1" customHeight="1" x14ac:dyDescent="0.2">
      <c r="A36" s="102">
        <v>29</v>
      </c>
      <c r="B36" s="107" t="s">
        <v>179</v>
      </c>
      <c r="C36" s="105">
        <f t="shared" si="7"/>
        <v>16287</v>
      </c>
      <c r="D36" s="105">
        <f t="shared" si="0"/>
        <v>15922</v>
      </c>
      <c r="E36" s="105">
        <f t="shared" si="1"/>
        <v>-365</v>
      </c>
      <c r="F36" s="106">
        <f t="shared" si="2"/>
        <v>97.8</v>
      </c>
      <c r="G36" s="105">
        <v>12522</v>
      </c>
      <c r="H36" s="105">
        <v>12185</v>
      </c>
      <c r="I36" s="105">
        <v>5792</v>
      </c>
      <c r="J36" s="105">
        <v>5757</v>
      </c>
      <c r="K36" s="105">
        <v>3765</v>
      </c>
      <c r="L36" s="105">
        <v>3737</v>
      </c>
    </row>
    <row r="37" spans="1:12" s="18" customFormat="1" ht="12.75" x14ac:dyDescent="0.2">
      <c r="A37" s="102">
        <v>30</v>
      </c>
      <c r="B37" s="107" t="s">
        <v>180</v>
      </c>
      <c r="C37" s="105">
        <f t="shared" si="7"/>
        <v>20935</v>
      </c>
      <c r="D37" s="105">
        <f t="shared" si="0"/>
        <v>19016</v>
      </c>
      <c r="E37" s="105">
        <f t="shared" si="1"/>
        <v>-1919</v>
      </c>
      <c r="F37" s="106">
        <f t="shared" si="2"/>
        <v>90.8</v>
      </c>
      <c r="G37" s="105">
        <v>20935</v>
      </c>
      <c r="H37" s="105">
        <f>19017-1</f>
        <v>19016</v>
      </c>
      <c r="I37" s="105">
        <v>14481</v>
      </c>
      <c r="J37" s="105">
        <v>14476</v>
      </c>
      <c r="K37" s="105"/>
      <c r="L37" s="105"/>
    </row>
    <row r="38" spans="1:12" s="18" customFormat="1" ht="28.5" customHeight="1" x14ac:dyDescent="0.2">
      <c r="A38" s="102">
        <v>31</v>
      </c>
      <c r="B38" s="107" t="s">
        <v>333</v>
      </c>
      <c r="C38" s="105">
        <f t="shared" si="7"/>
        <v>13034</v>
      </c>
      <c r="D38" s="105">
        <f>+H38+L38</f>
        <v>0</v>
      </c>
      <c r="E38" s="105">
        <f>+D38-C38</f>
        <v>-13034</v>
      </c>
      <c r="F38" s="106">
        <f t="shared" si="2"/>
        <v>0</v>
      </c>
      <c r="G38" s="105">
        <v>13034</v>
      </c>
      <c r="H38" s="105"/>
      <c r="I38" s="105">
        <v>9268</v>
      </c>
      <c r="J38" s="105"/>
      <c r="K38" s="105"/>
      <c r="L38" s="105"/>
    </row>
    <row r="39" spans="1:12" s="18" customFormat="1" ht="12.75" x14ac:dyDescent="0.2">
      <c r="A39" s="102">
        <v>32</v>
      </c>
      <c r="B39" s="107" t="s">
        <v>146</v>
      </c>
      <c r="C39" s="105">
        <f t="shared" si="7"/>
        <v>2433</v>
      </c>
      <c r="D39" s="105">
        <f>+H39+L39</f>
        <v>2269</v>
      </c>
      <c r="E39" s="105">
        <f>+D39-C39</f>
        <v>-164</v>
      </c>
      <c r="F39" s="106">
        <f t="shared" si="2"/>
        <v>93.3</v>
      </c>
      <c r="G39" s="105">
        <v>2433</v>
      </c>
      <c r="H39" s="105">
        <v>2269</v>
      </c>
      <c r="I39" s="105">
        <v>1858</v>
      </c>
      <c r="J39" s="105">
        <v>1732</v>
      </c>
      <c r="K39" s="105">
        <v>0</v>
      </c>
      <c r="L39" s="105"/>
    </row>
    <row r="40" spans="1:12" s="18" customFormat="1" ht="36.950000000000003" customHeight="1" x14ac:dyDescent="0.2">
      <c r="A40" s="102">
        <v>33</v>
      </c>
      <c r="B40" s="110" t="s">
        <v>181</v>
      </c>
      <c r="C40" s="105">
        <f>+C42+C43+C44</f>
        <v>14394</v>
      </c>
      <c r="D40" s="105">
        <f t="shared" ref="D40:L40" si="8">+D42+D43+D44</f>
        <v>13399</v>
      </c>
      <c r="E40" s="105">
        <f t="shared" si="8"/>
        <v>-995</v>
      </c>
      <c r="F40" s="106">
        <f t="shared" si="2"/>
        <v>93.1</v>
      </c>
      <c r="G40" s="105">
        <f t="shared" si="8"/>
        <v>14394</v>
      </c>
      <c r="H40" s="105">
        <f t="shared" si="8"/>
        <v>13399</v>
      </c>
      <c r="I40" s="105">
        <f t="shared" si="8"/>
        <v>10990</v>
      </c>
      <c r="J40" s="105">
        <f t="shared" si="8"/>
        <v>10232</v>
      </c>
      <c r="K40" s="105">
        <f t="shared" si="8"/>
        <v>0</v>
      </c>
      <c r="L40" s="105">
        <f t="shared" si="8"/>
        <v>0</v>
      </c>
    </row>
    <row r="41" spans="1:12" s="18" customFormat="1" ht="14.1" customHeight="1" x14ac:dyDescent="0.2">
      <c r="A41" s="102">
        <v>34</v>
      </c>
      <c r="B41" s="101" t="s">
        <v>3</v>
      </c>
      <c r="C41" s="105">
        <f t="shared" ref="C41:C50" si="9">+G41+K41</f>
        <v>0</v>
      </c>
      <c r="D41" s="105">
        <f t="shared" si="0"/>
        <v>0</v>
      </c>
      <c r="E41" s="105">
        <f t="shared" si="1"/>
        <v>0</v>
      </c>
      <c r="F41" s="106"/>
      <c r="G41" s="105"/>
      <c r="H41" s="105"/>
      <c r="I41" s="105"/>
      <c r="J41" s="105"/>
      <c r="K41" s="105"/>
      <c r="L41" s="105"/>
    </row>
    <row r="42" spans="1:12" s="18" customFormat="1" ht="16.5" customHeight="1" x14ac:dyDescent="0.2">
      <c r="A42" s="102">
        <v>35</v>
      </c>
      <c r="B42" s="109" t="s">
        <v>149</v>
      </c>
      <c r="C42" s="105">
        <f t="shared" si="9"/>
        <v>6140</v>
      </c>
      <c r="D42" s="105">
        <f t="shared" si="0"/>
        <v>5639</v>
      </c>
      <c r="E42" s="105">
        <f t="shared" si="1"/>
        <v>-501</v>
      </c>
      <c r="F42" s="106">
        <f t="shared" si="2"/>
        <v>91.8</v>
      </c>
      <c r="G42" s="105">
        <v>6140</v>
      </c>
      <c r="H42" s="105">
        <v>5639</v>
      </c>
      <c r="I42" s="105">
        <v>4688</v>
      </c>
      <c r="J42" s="105">
        <v>4308</v>
      </c>
      <c r="K42" s="105"/>
      <c r="L42" s="105"/>
    </row>
    <row r="43" spans="1:12" s="18" customFormat="1" ht="13.5" customHeight="1" x14ac:dyDescent="0.2">
      <c r="A43" s="102">
        <v>36</v>
      </c>
      <c r="B43" s="109" t="s">
        <v>150</v>
      </c>
      <c r="C43" s="105">
        <f t="shared" si="9"/>
        <v>4547</v>
      </c>
      <c r="D43" s="105">
        <f>+H43+L43</f>
        <v>4315</v>
      </c>
      <c r="E43" s="105">
        <f>+D43-C43</f>
        <v>-232</v>
      </c>
      <c r="F43" s="106">
        <f t="shared" si="2"/>
        <v>94.9</v>
      </c>
      <c r="G43" s="105">
        <v>4547</v>
      </c>
      <c r="H43" s="105">
        <v>4315</v>
      </c>
      <c r="I43" s="105">
        <v>3472</v>
      </c>
      <c r="J43" s="105">
        <v>3294</v>
      </c>
      <c r="K43" s="105"/>
      <c r="L43" s="105"/>
    </row>
    <row r="44" spans="1:12" s="18" customFormat="1" ht="12.95" customHeight="1" x14ac:dyDescent="0.2">
      <c r="A44" s="102">
        <v>37</v>
      </c>
      <c r="B44" s="109" t="s">
        <v>151</v>
      </c>
      <c r="C44" s="105">
        <f t="shared" si="9"/>
        <v>3707</v>
      </c>
      <c r="D44" s="105">
        <f t="shared" si="0"/>
        <v>3445</v>
      </c>
      <c r="E44" s="105">
        <f t="shared" si="1"/>
        <v>-262</v>
      </c>
      <c r="F44" s="106">
        <f t="shared" si="2"/>
        <v>92.9</v>
      </c>
      <c r="G44" s="105">
        <v>3707</v>
      </c>
      <c r="H44" s="105">
        <v>3445</v>
      </c>
      <c r="I44" s="105">
        <v>2830</v>
      </c>
      <c r="J44" s="105">
        <v>2630</v>
      </c>
      <c r="K44" s="105">
        <v>0</v>
      </c>
      <c r="L44" s="105"/>
    </row>
    <row r="45" spans="1:12" ht="51" x14ac:dyDescent="0.2">
      <c r="A45" s="102">
        <v>38</v>
      </c>
      <c r="B45" s="111" t="s">
        <v>334</v>
      </c>
      <c r="C45" s="105">
        <f t="shared" si="9"/>
        <v>11585</v>
      </c>
      <c r="D45" s="105">
        <f t="shared" si="0"/>
        <v>7533</v>
      </c>
      <c r="E45" s="105">
        <f t="shared" si="1"/>
        <v>-4052</v>
      </c>
      <c r="F45" s="106">
        <f t="shared" si="2"/>
        <v>65</v>
      </c>
      <c r="G45" s="105">
        <v>11585</v>
      </c>
      <c r="H45" s="105">
        <v>7533</v>
      </c>
      <c r="I45" s="105"/>
      <c r="J45" s="105"/>
      <c r="K45" s="105"/>
      <c r="L45" s="105"/>
    </row>
    <row r="46" spans="1:12" ht="51" x14ac:dyDescent="0.2">
      <c r="A46" s="102">
        <v>39</v>
      </c>
      <c r="B46" s="110" t="s">
        <v>335</v>
      </c>
      <c r="C46" s="105">
        <f t="shared" si="9"/>
        <v>50833</v>
      </c>
      <c r="D46" s="105">
        <f t="shared" si="0"/>
        <v>50833</v>
      </c>
      <c r="E46" s="105">
        <f t="shared" si="1"/>
        <v>0</v>
      </c>
      <c r="F46" s="106">
        <f t="shared" si="2"/>
        <v>100</v>
      </c>
      <c r="G46" s="105">
        <v>50833</v>
      </c>
      <c r="H46" s="105">
        <v>50833</v>
      </c>
      <c r="I46" s="105"/>
      <c r="J46" s="105"/>
      <c r="K46" s="105"/>
      <c r="L46" s="105"/>
    </row>
    <row r="47" spans="1:12" ht="32.25" customHeight="1" x14ac:dyDescent="0.2">
      <c r="A47" s="102">
        <v>40</v>
      </c>
      <c r="B47" s="110" t="s">
        <v>336</v>
      </c>
      <c r="C47" s="105">
        <f t="shared" si="9"/>
        <v>1210</v>
      </c>
      <c r="D47" s="105">
        <f>+H47+L47</f>
        <v>1210</v>
      </c>
      <c r="E47" s="105">
        <f>+D47-C47</f>
        <v>0</v>
      </c>
      <c r="F47" s="106">
        <f t="shared" si="2"/>
        <v>100</v>
      </c>
      <c r="G47" s="105">
        <v>1210</v>
      </c>
      <c r="H47" s="105">
        <v>1210</v>
      </c>
      <c r="I47" s="105">
        <v>924</v>
      </c>
      <c r="J47" s="105">
        <v>924</v>
      </c>
      <c r="K47" s="105"/>
      <c r="L47" s="105"/>
    </row>
    <row r="48" spans="1:12" ht="25.5" x14ac:dyDescent="0.2">
      <c r="A48" s="102">
        <v>41</v>
      </c>
      <c r="B48" s="107" t="s">
        <v>450</v>
      </c>
      <c r="C48" s="96">
        <f t="shared" si="9"/>
        <v>64925</v>
      </c>
      <c r="D48" s="96">
        <f t="shared" si="0"/>
        <v>57738</v>
      </c>
      <c r="E48" s="96">
        <f t="shared" si="1"/>
        <v>-7187</v>
      </c>
      <c r="F48" s="104">
        <f t="shared" si="2"/>
        <v>88.9</v>
      </c>
      <c r="G48" s="96">
        <v>64925</v>
      </c>
      <c r="H48" s="96">
        <v>57738</v>
      </c>
      <c r="I48" s="96"/>
      <c r="J48" s="96"/>
      <c r="K48" s="96"/>
      <c r="L48" s="96"/>
    </row>
    <row r="49" spans="1:12" ht="29.45" customHeight="1" x14ac:dyDescent="0.2">
      <c r="A49" s="102">
        <v>42</v>
      </c>
      <c r="B49" s="109" t="s">
        <v>451</v>
      </c>
      <c r="C49" s="96">
        <f t="shared" si="9"/>
        <v>203892</v>
      </c>
      <c r="D49" s="96">
        <f t="shared" si="0"/>
        <v>198249</v>
      </c>
      <c r="E49" s="96">
        <f t="shared" si="1"/>
        <v>-5643</v>
      </c>
      <c r="F49" s="104">
        <f t="shared" si="2"/>
        <v>97.2</v>
      </c>
      <c r="G49" s="96">
        <v>203892</v>
      </c>
      <c r="H49" s="96">
        <v>198249</v>
      </c>
      <c r="I49" s="96"/>
      <c r="J49" s="96"/>
      <c r="K49" s="96"/>
      <c r="L49" s="96"/>
    </row>
    <row r="50" spans="1:12" s="9" customFormat="1" ht="25.5" x14ac:dyDescent="0.2">
      <c r="A50" s="102">
        <v>43</v>
      </c>
      <c r="B50" s="112" t="s">
        <v>452</v>
      </c>
      <c r="C50" s="96">
        <f t="shared" si="9"/>
        <v>34754</v>
      </c>
      <c r="D50" s="96">
        <f t="shared" si="0"/>
        <v>30472</v>
      </c>
      <c r="E50" s="96">
        <f t="shared" si="1"/>
        <v>-4282</v>
      </c>
      <c r="F50" s="104">
        <f t="shared" si="2"/>
        <v>87.7</v>
      </c>
      <c r="G50" s="96">
        <v>34754</v>
      </c>
      <c r="H50" s="96">
        <v>30472</v>
      </c>
      <c r="I50" s="96"/>
      <c r="J50" s="96"/>
      <c r="K50" s="96"/>
      <c r="L50" s="96"/>
    </row>
    <row r="51" spans="1:12" ht="17.45" customHeight="1" x14ac:dyDescent="0.2">
      <c r="A51" s="102">
        <v>44</v>
      </c>
      <c r="B51" s="113" t="s">
        <v>204</v>
      </c>
      <c r="C51" s="96">
        <f>+C53+C54</f>
        <v>521316</v>
      </c>
      <c r="D51" s="96">
        <f t="shared" ref="D51:L51" si="10">+D53+D54</f>
        <v>396500</v>
      </c>
      <c r="E51" s="96">
        <f t="shared" si="10"/>
        <v>-124816</v>
      </c>
      <c r="F51" s="104">
        <f t="shared" si="2"/>
        <v>76.099999999999994</v>
      </c>
      <c r="G51" s="96">
        <f t="shared" si="10"/>
        <v>0</v>
      </c>
      <c r="H51" s="96">
        <f t="shared" si="10"/>
        <v>0</v>
      </c>
      <c r="I51" s="96">
        <f t="shared" si="10"/>
        <v>0</v>
      </c>
      <c r="J51" s="96">
        <f t="shared" si="10"/>
        <v>0</v>
      </c>
      <c r="K51" s="96">
        <f t="shared" si="10"/>
        <v>521316</v>
      </c>
      <c r="L51" s="96">
        <f t="shared" si="10"/>
        <v>396500</v>
      </c>
    </row>
    <row r="52" spans="1:12" ht="11.1" customHeight="1" x14ac:dyDescent="0.2">
      <c r="A52" s="102">
        <v>45</v>
      </c>
      <c r="B52" s="101" t="s">
        <v>3</v>
      </c>
      <c r="C52" s="96"/>
      <c r="D52" s="105"/>
      <c r="E52" s="96"/>
      <c r="F52" s="104"/>
      <c r="G52" s="96"/>
      <c r="H52" s="105"/>
      <c r="I52" s="96">
        <v>0</v>
      </c>
      <c r="J52" s="105"/>
      <c r="K52" s="96">
        <v>0</v>
      </c>
      <c r="L52" s="105"/>
    </row>
    <row r="53" spans="1:12" ht="24" customHeight="1" x14ac:dyDescent="0.2">
      <c r="A53" s="102">
        <v>46</v>
      </c>
      <c r="B53" s="109" t="s">
        <v>205</v>
      </c>
      <c r="C53" s="105">
        <f>+G53+K53</f>
        <v>115848</v>
      </c>
      <c r="D53" s="105">
        <f>+H53+L53</f>
        <v>0</v>
      </c>
      <c r="E53" s="105">
        <f>+D53-C53</f>
        <v>-115848</v>
      </c>
      <c r="F53" s="104">
        <f t="shared" si="2"/>
        <v>0</v>
      </c>
      <c r="G53" s="105"/>
      <c r="H53" s="105"/>
      <c r="I53" s="105"/>
      <c r="J53" s="105"/>
      <c r="K53" s="105">
        <v>115848</v>
      </c>
      <c r="L53" s="105"/>
    </row>
    <row r="54" spans="1:12" ht="45" customHeight="1" x14ac:dyDescent="0.2">
      <c r="A54" s="102">
        <v>47</v>
      </c>
      <c r="B54" s="109" t="s">
        <v>264</v>
      </c>
      <c r="C54" s="105">
        <f>+G54+K54</f>
        <v>405468</v>
      </c>
      <c r="D54" s="105">
        <f t="shared" si="0"/>
        <v>396500</v>
      </c>
      <c r="E54" s="105">
        <f t="shared" si="1"/>
        <v>-8968</v>
      </c>
      <c r="F54" s="106">
        <f t="shared" si="2"/>
        <v>97.8</v>
      </c>
      <c r="G54" s="105">
        <v>0</v>
      </c>
      <c r="H54" s="105"/>
      <c r="I54" s="105">
        <v>0</v>
      </c>
      <c r="J54" s="105"/>
      <c r="K54" s="105">
        <v>405468</v>
      </c>
      <c r="L54" s="105">
        <v>396500</v>
      </c>
    </row>
    <row r="55" spans="1:12" ht="16.5" customHeight="1" x14ac:dyDescent="0.2">
      <c r="A55" s="102">
        <v>48</v>
      </c>
      <c r="B55" s="112" t="s">
        <v>182</v>
      </c>
      <c r="C55" s="96">
        <f>+C56+C57+C62+C70+C74+C79+C84+C85+C86+C90+C95+C99</f>
        <v>7048452</v>
      </c>
      <c r="D55" s="96">
        <f>+D56+D57+D62+D70+D74+D79+D84+D85+D86+D90+D95+D99</f>
        <v>6162333</v>
      </c>
      <c r="E55" s="96">
        <f>+E56+E57+E62+E70+E74+E79+E84+E85+E86+E90+E95+E99</f>
        <v>-886119</v>
      </c>
      <c r="F55" s="104">
        <f t="shared" si="2"/>
        <v>87.4</v>
      </c>
      <c r="G55" s="96">
        <f t="shared" ref="G55:L55" si="11">+G56+G57+G62+G70+G74+G79+G84+G85+G86+G90+G95+G99</f>
        <v>1484396</v>
      </c>
      <c r="H55" s="96">
        <f t="shared" si="11"/>
        <v>1367599</v>
      </c>
      <c r="I55" s="96">
        <f t="shared" si="11"/>
        <v>4574</v>
      </c>
      <c r="J55" s="96">
        <f t="shared" si="11"/>
        <v>3959</v>
      </c>
      <c r="K55" s="96">
        <f t="shared" si="11"/>
        <v>5564056</v>
      </c>
      <c r="L55" s="96">
        <f t="shared" si="11"/>
        <v>4794734</v>
      </c>
    </row>
    <row r="56" spans="1:12" ht="26.45" customHeight="1" x14ac:dyDescent="0.2">
      <c r="A56" s="102">
        <v>49</v>
      </c>
      <c r="B56" s="103" t="s">
        <v>449</v>
      </c>
      <c r="C56" s="96">
        <f>+G56+K56</f>
        <v>20071</v>
      </c>
      <c r="D56" s="96">
        <f t="shared" si="0"/>
        <v>20062</v>
      </c>
      <c r="E56" s="96">
        <f t="shared" si="1"/>
        <v>-9</v>
      </c>
      <c r="F56" s="104">
        <f t="shared" si="2"/>
        <v>100</v>
      </c>
      <c r="G56" s="96">
        <v>5590</v>
      </c>
      <c r="H56" s="96">
        <v>5590</v>
      </c>
      <c r="I56" s="96">
        <v>0</v>
      </c>
      <c r="J56" s="96"/>
      <c r="K56" s="96">
        <v>14481</v>
      </c>
      <c r="L56" s="96">
        <v>14472</v>
      </c>
    </row>
    <row r="57" spans="1:12" s="9" customFormat="1" ht="12.75" x14ac:dyDescent="0.2">
      <c r="A57" s="102">
        <v>50</v>
      </c>
      <c r="B57" s="113" t="s">
        <v>453</v>
      </c>
      <c r="C57" s="96">
        <f>+C59+C60+C61</f>
        <v>1742101</v>
      </c>
      <c r="D57" s="96">
        <f t="shared" ref="D57:L57" si="12">+D59+D60+D61</f>
        <v>1680646</v>
      </c>
      <c r="E57" s="96">
        <f t="shared" si="12"/>
        <v>-61455</v>
      </c>
      <c r="F57" s="104">
        <f t="shared" si="2"/>
        <v>96.5</v>
      </c>
      <c r="G57" s="96">
        <f t="shared" si="12"/>
        <v>524357</v>
      </c>
      <c r="H57" s="96">
        <f t="shared" si="12"/>
        <v>520822</v>
      </c>
      <c r="I57" s="96">
        <f t="shared" si="12"/>
        <v>0</v>
      </c>
      <c r="J57" s="96">
        <f t="shared" si="12"/>
        <v>0</v>
      </c>
      <c r="K57" s="96">
        <f t="shared" si="12"/>
        <v>1217744</v>
      </c>
      <c r="L57" s="96">
        <f t="shared" si="12"/>
        <v>1159824</v>
      </c>
    </row>
    <row r="58" spans="1:12" s="9" customFormat="1" ht="15.6" customHeight="1" x14ac:dyDescent="0.2">
      <c r="A58" s="102">
        <v>51</v>
      </c>
      <c r="B58" s="101" t="s">
        <v>3</v>
      </c>
      <c r="C58" s="96">
        <f>+G58+K58</f>
        <v>0</v>
      </c>
      <c r="D58" s="105">
        <f t="shared" si="0"/>
        <v>0</v>
      </c>
      <c r="E58" s="105">
        <f t="shared" si="1"/>
        <v>0</v>
      </c>
      <c r="F58" s="106"/>
      <c r="G58" s="105">
        <v>0</v>
      </c>
      <c r="H58" s="96"/>
      <c r="I58" s="105">
        <v>0</v>
      </c>
      <c r="J58" s="96"/>
      <c r="K58" s="105">
        <v>0</v>
      </c>
      <c r="L58" s="96"/>
    </row>
    <row r="59" spans="1:12" s="9" customFormat="1" ht="27" customHeight="1" x14ac:dyDescent="0.2">
      <c r="A59" s="102">
        <v>52</v>
      </c>
      <c r="B59" s="109" t="s">
        <v>183</v>
      </c>
      <c r="C59" s="105">
        <f>+G59+K59</f>
        <v>1400408</v>
      </c>
      <c r="D59" s="105">
        <f t="shared" si="0"/>
        <v>1338953</v>
      </c>
      <c r="E59" s="105">
        <f t="shared" si="1"/>
        <v>-61455</v>
      </c>
      <c r="F59" s="106">
        <f t="shared" si="2"/>
        <v>95.6</v>
      </c>
      <c r="G59" s="105">
        <v>379547</v>
      </c>
      <c r="H59" s="105">
        <v>376012</v>
      </c>
      <c r="I59" s="105"/>
      <c r="J59" s="105"/>
      <c r="K59" s="105">
        <v>1020861</v>
      </c>
      <c r="L59" s="105">
        <v>962941</v>
      </c>
    </row>
    <row r="60" spans="1:12" s="9" customFormat="1" ht="50.1" customHeight="1" x14ac:dyDescent="0.2">
      <c r="A60" s="102">
        <v>53</v>
      </c>
      <c r="B60" s="109" t="s">
        <v>337</v>
      </c>
      <c r="C60" s="105">
        <f>+G60+K60</f>
        <v>144810</v>
      </c>
      <c r="D60" s="105">
        <f t="shared" si="0"/>
        <v>144810</v>
      </c>
      <c r="E60" s="105">
        <f t="shared" si="1"/>
        <v>0</v>
      </c>
      <c r="F60" s="106">
        <f t="shared" si="2"/>
        <v>100</v>
      </c>
      <c r="G60" s="105">
        <v>144810</v>
      </c>
      <c r="H60" s="105">
        <v>144810</v>
      </c>
      <c r="I60" s="105"/>
      <c r="J60" s="105"/>
      <c r="K60" s="105"/>
      <c r="L60" s="105"/>
    </row>
    <row r="61" spans="1:12" s="9" customFormat="1" ht="25.5" x14ac:dyDescent="0.2">
      <c r="A61" s="102">
        <v>54</v>
      </c>
      <c r="B61" s="109" t="s">
        <v>184</v>
      </c>
      <c r="C61" s="105">
        <f>+G61+K61</f>
        <v>196883</v>
      </c>
      <c r="D61" s="105">
        <f>+H61+L61</f>
        <v>196883</v>
      </c>
      <c r="E61" s="105">
        <f>+D61-C61</f>
        <v>0</v>
      </c>
      <c r="F61" s="106">
        <f t="shared" si="2"/>
        <v>100</v>
      </c>
      <c r="G61" s="105"/>
      <c r="H61" s="105"/>
      <c r="I61" s="105"/>
      <c r="J61" s="105"/>
      <c r="K61" s="105">
        <v>196883</v>
      </c>
      <c r="L61" s="105">
        <v>196883</v>
      </c>
    </row>
    <row r="62" spans="1:12" s="9" customFormat="1" ht="15.95" customHeight="1" x14ac:dyDescent="0.2">
      <c r="A62" s="102">
        <v>55</v>
      </c>
      <c r="B62" s="103" t="s">
        <v>185</v>
      </c>
      <c r="C62" s="96">
        <f>+C64+C65+C66</f>
        <v>543676</v>
      </c>
      <c r="D62" s="96">
        <f>+D64+D65+D66</f>
        <v>473218</v>
      </c>
      <c r="E62" s="96">
        <f>+E64+E65+E66</f>
        <v>-70458</v>
      </c>
      <c r="F62" s="104">
        <f t="shared" si="2"/>
        <v>87</v>
      </c>
      <c r="G62" s="96">
        <f t="shared" ref="G62:L62" si="13">+G64+G65+G66</f>
        <v>371352</v>
      </c>
      <c r="H62" s="96">
        <f t="shared" si="13"/>
        <v>360439</v>
      </c>
      <c r="I62" s="96">
        <f t="shared" si="13"/>
        <v>2172</v>
      </c>
      <c r="J62" s="96">
        <f t="shared" si="13"/>
        <v>2171</v>
      </c>
      <c r="K62" s="96">
        <f t="shared" si="13"/>
        <v>172324</v>
      </c>
      <c r="L62" s="96">
        <f t="shared" si="13"/>
        <v>112779</v>
      </c>
    </row>
    <row r="63" spans="1:12" ht="12.75" x14ac:dyDescent="0.2">
      <c r="A63" s="102">
        <v>56</v>
      </c>
      <c r="B63" s="114" t="s">
        <v>3</v>
      </c>
      <c r="C63" s="105">
        <f t="shared" ref="C63:D65" si="14">+G63+K63</f>
        <v>0</v>
      </c>
      <c r="D63" s="105">
        <f t="shared" si="14"/>
        <v>0</v>
      </c>
      <c r="E63" s="105">
        <f>+D63-C63</f>
        <v>0</v>
      </c>
      <c r="F63" s="106"/>
      <c r="G63" s="105"/>
      <c r="H63" s="105"/>
      <c r="I63" s="105"/>
      <c r="J63" s="105"/>
      <c r="K63" s="105">
        <v>0</v>
      </c>
      <c r="L63" s="105"/>
    </row>
    <row r="64" spans="1:12" ht="25.5" x14ac:dyDescent="0.2">
      <c r="A64" s="102">
        <v>57</v>
      </c>
      <c r="B64" s="107" t="s">
        <v>186</v>
      </c>
      <c r="C64" s="105">
        <f t="shared" si="14"/>
        <v>77158</v>
      </c>
      <c r="D64" s="105">
        <f t="shared" si="14"/>
        <v>75973</v>
      </c>
      <c r="E64" s="105">
        <f>+D64-C64</f>
        <v>-1185</v>
      </c>
      <c r="F64" s="106">
        <f t="shared" si="2"/>
        <v>98.5</v>
      </c>
      <c r="G64" s="105">
        <v>77158</v>
      </c>
      <c r="H64" s="105">
        <v>75973</v>
      </c>
      <c r="I64" s="105">
        <v>2172</v>
      </c>
      <c r="J64" s="105">
        <v>2171</v>
      </c>
      <c r="K64" s="105"/>
      <c r="L64" s="105"/>
    </row>
    <row r="65" spans="1:12" ht="12.75" x14ac:dyDescent="0.2">
      <c r="A65" s="102">
        <v>58</v>
      </c>
      <c r="B65" s="107" t="s">
        <v>187</v>
      </c>
      <c r="C65" s="105">
        <f t="shared" si="14"/>
        <v>172324</v>
      </c>
      <c r="D65" s="105">
        <f t="shared" si="14"/>
        <v>112779</v>
      </c>
      <c r="E65" s="105">
        <f>+D65-C65</f>
        <v>-59545</v>
      </c>
      <c r="F65" s="106">
        <f t="shared" si="2"/>
        <v>65.400000000000006</v>
      </c>
      <c r="G65" s="96"/>
      <c r="H65" s="96"/>
      <c r="I65" s="96"/>
      <c r="J65" s="96"/>
      <c r="K65" s="105">
        <v>172324</v>
      </c>
      <c r="L65" s="105">
        <v>112779</v>
      </c>
    </row>
    <row r="66" spans="1:12" ht="38.25" x14ac:dyDescent="0.2">
      <c r="A66" s="102">
        <v>59</v>
      </c>
      <c r="B66" s="103" t="s">
        <v>454</v>
      </c>
      <c r="C66" s="105">
        <f>+C68+C69</f>
        <v>294194</v>
      </c>
      <c r="D66" s="105">
        <f>+D68+D69</f>
        <v>284466</v>
      </c>
      <c r="E66" s="105">
        <f t="shared" si="1"/>
        <v>-9728</v>
      </c>
      <c r="F66" s="106">
        <f t="shared" si="2"/>
        <v>96.7</v>
      </c>
      <c r="G66" s="105">
        <f t="shared" ref="G66:L66" si="15">+G68+G69</f>
        <v>294194</v>
      </c>
      <c r="H66" s="105">
        <f t="shared" si="15"/>
        <v>284466</v>
      </c>
      <c r="I66" s="105">
        <f t="shared" si="15"/>
        <v>0</v>
      </c>
      <c r="J66" s="105">
        <f t="shared" si="15"/>
        <v>0</v>
      </c>
      <c r="K66" s="105">
        <f t="shared" si="15"/>
        <v>0</v>
      </c>
      <c r="L66" s="105">
        <f t="shared" si="15"/>
        <v>0</v>
      </c>
    </row>
    <row r="67" spans="1:12" ht="12.75" x14ac:dyDescent="0.2">
      <c r="A67" s="102">
        <v>60</v>
      </c>
      <c r="B67" s="114" t="s">
        <v>3</v>
      </c>
      <c r="C67" s="105">
        <f>+G67+K67</f>
        <v>0</v>
      </c>
      <c r="D67" s="105">
        <f t="shared" si="0"/>
        <v>0</v>
      </c>
      <c r="E67" s="105">
        <f t="shared" si="1"/>
        <v>0</v>
      </c>
      <c r="F67" s="106"/>
      <c r="G67" s="105"/>
      <c r="H67" s="105"/>
      <c r="I67" s="105"/>
      <c r="J67" s="105"/>
      <c r="K67" s="105"/>
      <c r="L67" s="105"/>
    </row>
    <row r="68" spans="1:12" ht="30" customHeight="1" x14ac:dyDescent="0.2">
      <c r="A68" s="102">
        <v>61</v>
      </c>
      <c r="B68" s="107" t="s">
        <v>141</v>
      </c>
      <c r="C68" s="105">
        <f>+G68+K68</f>
        <v>286374</v>
      </c>
      <c r="D68" s="105">
        <f t="shared" si="0"/>
        <v>276646</v>
      </c>
      <c r="E68" s="105">
        <f t="shared" si="1"/>
        <v>-9728</v>
      </c>
      <c r="F68" s="106">
        <f t="shared" si="2"/>
        <v>96.6</v>
      </c>
      <c r="G68" s="105">
        <v>286374</v>
      </c>
      <c r="H68" s="105">
        <v>276646</v>
      </c>
      <c r="I68" s="105"/>
      <c r="J68" s="105"/>
      <c r="K68" s="105"/>
      <c r="L68" s="105"/>
    </row>
    <row r="69" spans="1:12" s="9" customFormat="1" ht="18.75" customHeight="1" x14ac:dyDescent="0.2">
      <c r="A69" s="102">
        <v>62</v>
      </c>
      <c r="B69" s="107" t="s">
        <v>139</v>
      </c>
      <c r="C69" s="105">
        <f>+G69+K69</f>
        <v>7820</v>
      </c>
      <c r="D69" s="105">
        <f>+H69+L69</f>
        <v>7820</v>
      </c>
      <c r="E69" s="105">
        <f t="shared" si="1"/>
        <v>0</v>
      </c>
      <c r="F69" s="106">
        <f t="shared" si="2"/>
        <v>100</v>
      </c>
      <c r="G69" s="105">
        <v>7820</v>
      </c>
      <c r="H69" s="105">
        <v>7820</v>
      </c>
      <c r="I69" s="105"/>
      <c r="J69" s="105"/>
      <c r="K69" s="96"/>
      <c r="L69" s="96"/>
    </row>
    <row r="70" spans="1:12" s="9" customFormat="1" ht="15" customHeight="1" x14ac:dyDescent="0.2">
      <c r="A70" s="102">
        <v>63</v>
      </c>
      <c r="B70" s="103" t="s">
        <v>188</v>
      </c>
      <c r="C70" s="96">
        <f>+C72+C73</f>
        <v>130298</v>
      </c>
      <c r="D70" s="96">
        <f t="shared" ref="D70:L70" si="16">+D72+D73</f>
        <v>81623</v>
      </c>
      <c r="E70" s="96">
        <f t="shared" si="16"/>
        <v>-48675</v>
      </c>
      <c r="F70" s="104">
        <f t="shared" si="2"/>
        <v>62.6</v>
      </c>
      <c r="G70" s="96">
        <f t="shared" si="16"/>
        <v>110287</v>
      </c>
      <c r="H70" s="96">
        <f t="shared" si="16"/>
        <v>62743</v>
      </c>
      <c r="I70" s="96">
        <f t="shared" si="16"/>
        <v>0</v>
      </c>
      <c r="J70" s="96">
        <f t="shared" si="16"/>
        <v>0</v>
      </c>
      <c r="K70" s="96">
        <f t="shared" si="16"/>
        <v>20011</v>
      </c>
      <c r="L70" s="96">
        <f t="shared" si="16"/>
        <v>18880</v>
      </c>
    </row>
    <row r="71" spans="1:12" s="9" customFormat="1" ht="15.6" customHeight="1" x14ac:dyDescent="0.2">
      <c r="A71" s="102">
        <v>64</v>
      </c>
      <c r="B71" s="101" t="s">
        <v>3</v>
      </c>
      <c r="C71" s="105">
        <f>+G71+K71</f>
        <v>0</v>
      </c>
      <c r="D71" s="105">
        <f t="shared" si="0"/>
        <v>0</v>
      </c>
      <c r="E71" s="105">
        <f t="shared" si="1"/>
        <v>0</v>
      </c>
      <c r="F71" s="106"/>
      <c r="G71" s="105"/>
      <c r="H71" s="105"/>
      <c r="I71" s="105"/>
      <c r="J71" s="96"/>
      <c r="K71" s="105"/>
      <c r="L71" s="105"/>
    </row>
    <row r="72" spans="1:12" s="9" customFormat="1" ht="27.95" customHeight="1" x14ac:dyDescent="0.2">
      <c r="A72" s="102">
        <v>65</v>
      </c>
      <c r="B72" s="107" t="s">
        <v>189</v>
      </c>
      <c r="C72" s="105">
        <f>+G72+K72</f>
        <v>122160</v>
      </c>
      <c r="D72" s="105">
        <f t="shared" si="0"/>
        <v>74615</v>
      </c>
      <c r="E72" s="105">
        <f t="shared" si="1"/>
        <v>-47545</v>
      </c>
      <c r="F72" s="106">
        <f t="shared" si="2"/>
        <v>61.1</v>
      </c>
      <c r="G72" s="105">
        <v>110287</v>
      </c>
      <c r="H72" s="105">
        <v>62743</v>
      </c>
      <c r="I72" s="105"/>
      <c r="J72" s="96"/>
      <c r="K72" s="105">
        <v>11873</v>
      </c>
      <c r="L72" s="105">
        <v>11872</v>
      </c>
    </row>
    <row r="73" spans="1:12" s="9" customFormat="1" ht="24.6" customHeight="1" x14ac:dyDescent="0.2">
      <c r="A73" s="102">
        <v>66</v>
      </c>
      <c r="B73" s="107" t="s">
        <v>190</v>
      </c>
      <c r="C73" s="105">
        <f>+G73+K73</f>
        <v>8138</v>
      </c>
      <c r="D73" s="105">
        <f t="shared" si="0"/>
        <v>7008</v>
      </c>
      <c r="E73" s="105">
        <f t="shared" si="1"/>
        <v>-1130</v>
      </c>
      <c r="F73" s="106">
        <f t="shared" si="2"/>
        <v>86.1</v>
      </c>
      <c r="G73" s="105"/>
      <c r="H73" s="105"/>
      <c r="I73" s="105"/>
      <c r="J73" s="105"/>
      <c r="K73" s="105">
        <v>8138</v>
      </c>
      <c r="L73" s="105">
        <v>7008</v>
      </c>
    </row>
    <row r="74" spans="1:12" s="9" customFormat="1" ht="15.6" customHeight="1" x14ac:dyDescent="0.2">
      <c r="A74" s="102">
        <v>67</v>
      </c>
      <c r="B74" s="113" t="s">
        <v>191</v>
      </c>
      <c r="C74" s="96">
        <f>+C76+C77+C78</f>
        <v>1137758</v>
      </c>
      <c r="D74" s="96">
        <f t="shared" ref="D74:L74" si="17">+D76+D77+D78</f>
        <v>1029695</v>
      </c>
      <c r="E74" s="96">
        <f t="shared" si="17"/>
        <v>-108063</v>
      </c>
      <c r="F74" s="104">
        <f t="shared" ref="F74:F138" si="18">+D74/C74*100</f>
        <v>90.5</v>
      </c>
      <c r="G74" s="96">
        <f t="shared" si="17"/>
        <v>123622</v>
      </c>
      <c r="H74" s="96">
        <f t="shared" si="17"/>
        <v>108640</v>
      </c>
      <c r="I74" s="96">
        <f t="shared" si="17"/>
        <v>0</v>
      </c>
      <c r="J74" s="96">
        <f t="shared" si="17"/>
        <v>0</v>
      </c>
      <c r="K74" s="96">
        <f t="shared" si="17"/>
        <v>1014136</v>
      </c>
      <c r="L74" s="96">
        <f t="shared" si="17"/>
        <v>921055</v>
      </c>
    </row>
    <row r="75" spans="1:12" s="9" customFormat="1" ht="15" customHeight="1" x14ac:dyDescent="0.2">
      <c r="A75" s="102">
        <v>68</v>
      </c>
      <c r="B75" s="101" t="s">
        <v>3</v>
      </c>
      <c r="C75" s="96">
        <f t="shared" ref="C75:C138" si="19">+G75+K75</f>
        <v>0</v>
      </c>
      <c r="D75" s="105">
        <f t="shared" ref="D75:D138" si="20">+H75+L75</f>
        <v>0</v>
      </c>
      <c r="E75" s="105">
        <f t="shared" ref="E75:E138" si="21">+D75-C75</f>
        <v>0</v>
      </c>
      <c r="F75" s="106"/>
      <c r="G75" s="105"/>
      <c r="H75" s="96"/>
      <c r="I75" s="105"/>
      <c r="J75" s="96"/>
      <c r="K75" s="105"/>
      <c r="L75" s="96"/>
    </row>
    <row r="76" spans="1:12" s="9" customFormat="1" ht="14.45" customHeight="1" x14ac:dyDescent="0.2">
      <c r="A76" s="102">
        <v>69</v>
      </c>
      <c r="B76" s="109" t="s">
        <v>192</v>
      </c>
      <c r="C76" s="105">
        <f t="shared" si="19"/>
        <v>922483</v>
      </c>
      <c r="D76" s="105">
        <f t="shared" si="20"/>
        <v>809344</v>
      </c>
      <c r="E76" s="105">
        <f t="shared" si="21"/>
        <v>-113139</v>
      </c>
      <c r="F76" s="106">
        <f t="shared" si="18"/>
        <v>87.7</v>
      </c>
      <c r="G76" s="105">
        <v>123622</v>
      </c>
      <c r="H76" s="105">
        <v>107307</v>
      </c>
      <c r="I76" s="105"/>
      <c r="J76" s="105"/>
      <c r="K76" s="105">
        <v>798861</v>
      </c>
      <c r="L76" s="105">
        <v>702037</v>
      </c>
    </row>
    <row r="77" spans="1:12" s="9" customFormat="1" ht="12.75" x14ac:dyDescent="0.2">
      <c r="A77" s="102">
        <v>70</v>
      </c>
      <c r="B77" s="109" t="s">
        <v>193</v>
      </c>
      <c r="C77" s="105">
        <f t="shared" si="19"/>
        <v>182721</v>
      </c>
      <c r="D77" s="105">
        <f t="shared" si="20"/>
        <v>182673</v>
      </c>
      <c r="E77" s="105">
        <f t="shared" si="21"/>
        <v>-48</v>
      </c>
      <c r="F77" s="106">
        <f t="shared" si="18"/>
        <v>100</v>
      </c>
      <c r="G77" s="105"/>
      <c r="H77" s="105"/>
      <c r="I77" s="105"/>
      <c r="J77" s="105"/>
      <c r="K77" s="105">
        <v>182721</v>
      </c>
      <c r="L77" s="105">
        <v>182673</v>
      </c>
    </row>
    <row r="78" spans="1:12" s="9" customFormat="1" ht="16.5" customHeight="1" x14ac:dyDescent="0.2">
      <c r="A78" s="102">
        <v>71</v>
      </c>
      <c r="B78" s="107" t="s">
        <v>194</v>
      </c>
      <c r="C78" s="105">
        <f>+G78+K78</f>
        <v>32554</v>
      </c>
      <c r="D78" s="105">
        <f>+H78+L78</f>
        <v>37678</v>
      </c>
      <c r="E78" s="105">
        <f>+D78-C78</f>
        <v>5124</v>
      </c>
      <c r="F78" s="106">
        <f t="shared" si="18"/>
        <v>115.7</v>
      </c>
      <c r="G78" s="105"/>
      <c r="H78" s="105">
        <v>1333</v>
      </c>
      <c r="I78" s="105"/>
      <c r="J78" s="105"/>
      <c r="K78" s="105">
        <v>32554</v>
      </c>
      <c r="L78" s="105">
        <f>20698+15647</f>
        <v>36345</v>
      </c>
    </row>
    <row r="79" spans="1:12" s="9" customFormat="1" ht="14.1" customHeight="1" x14ac:dyDescent="0.2">
      <c r="A79" s="102">
        <v>72</v>
      </c>
      <c r="B79" s="103" t="s">
        <v>455</v>
      </c>
      <c r="C79" s="96">
        <f>+C81+C82+C83</f>
        <v>897868</v>
      </c>
      <c r="D79" s="96">
        <f t="shared" ref="D79:L79" si="22">+D81+D82+D83</f>
        <v>906685</v>
      </c>
      <c r="E79" s="96">
        <f t="shared" si="22"/>
        <v>8817</v>
      </c>
      <c r="F79" s="104">
        <f t="shared" si="18"/>
        <v>101</v>
      </c>
      <c r="G79" s="96">
        <f t="shared" si="22"/>
        <v>0</v>
      </c>
      <c r="H79" s="96">
        <f t="shared" si="22"/>
        <v>0</v>
      </c>
      <c r="I79" s="96">
        <f t="shared" si="22"/>
        <v>0</v>
      </c>
      <c r="J79" s="96">
        <f t="shared" si="22"/>
        <v>0</v>
      </c>
      <c r="K79" s="96">
        <f t="shared" si="22"/>
        <v>897868</v>
      </c>
      <c r="L79" s="96">
        <f t="shared" si="22"/>
        <v>906685</v>
      </c>
    </row>
    <row r="80" spans="1:12" s="9" customFormat="1" ht="12.75" x14ac:dyDescent="0.2">
      <c r="A80" s="102">
        <v>73</v>
      </c>
      <c r="B80" s="101" t="s">
        <v>3</v>
      </c>
      <c r="C80" s="105">
        <f t="shared" si="19"/>
        <v>0</v>
      </c>
      <c r="D80" s="105">
        <f t="shared" si="20"/>
        <v>0</v>
      </c>
      <c r="E80" s="105">
        <f t="shared" si="21"/>
        <v>0</v>
      </c>
      <c r="F80" s="106"/>
      <c r="G80" s="105"/>
      <c r="H80" s="105"/>
      <c r="I80" s="105"/>
      <c r="J80" s="105"/>
      <c r="K80" s="105"/>
      <c r="L80" s="105"/>
    </row>
    <row r="81" spans="1:12" s="9" customFormat="1" ht="24.6" customHeight="1" x14ac:dyDescent="0.2">
      <c r="A81" s="102">
        <v>74</v>
      </c>
      <c r="B81" s="109" t="s">
        <v>195</v>
      </c>
      <c r="C81" s="105">
        <f t="shared" si="19"/>
        <v>31323</v>
      </c>
      <c r="D81" s="105">
        <f t="shared" si="20"/>
        <v>101448</v>
      </c>
      <c r="E81" s="105">
        <f t="shared" si="21"/>
        <v>70125</v>
      </c>
      <c r="F81" s="106">
        <f t="shared" si="18"/>
        <v>323.89999999999998</v>
      </c>
      <c r="G81" s="105"/>
      <c r="H81" s="105"/>
      <c r="I81" s="105"/>
      <c r="J81" s="105"/>
      <c r="K81" s="105">
        <f>2896+5257+23170</f>
        <v>31323</v>
      </c>
      <c r="L81" s="105">
        <f>2640+5257+93551</f>
        <v>101448</v>
      </c>
    </row>
    <row r="82" spans="1:12" ht="24.95" customHeight="1" x14ac:dyDescent="0.2">
      <c r="A82" s="102">
        <v>75</v>
      </c>
      <c r="B82" s="109" t="s">
        <v>196</v>
      </c>
      <c r="C82" s="105">
        <f>+G82+K82</f>
        <v>120829</v>
      </c>
      <c r="D82" s="105">
        <f>+H82+L82</f>
        <v>120823</v>
      </c>
      <c r="E82" s="105">
        <f t="shared" si="21"/>
        <v>-6</v>
      </c>
      <c r="F82" s="106">
        <f t="shared" si="18"/>
        <v>100</v>
      </c>
      <c r="G82" s="105"/>
      <c r="H82" s="105"/>
      <c r="I82" s="105"/>
      <c r="J82" s="105"/>
      <c r="K82" s="105">
        <v>120829</v>
      </c>
      <c r="L82" s="105">
        <v>120823</v>
      </c>
    </row>
    <row r="83" spans="1:12" ht="50.45" customHeight="1" x14ac:dyDescent="0.2">
      <c r="A83" s="102">
        <v>76</v>
      </c>
      <c r="B83" s="107" t="s">
        <v>338</v>
      </c>
      <c r="C83" s="105">
        <f t="shared" si="19"/>
        <v>745716</v>
      </c>
      <c r="D83" s="105">
        <f t="shared" si="20"/>
        <v>684414</v>
      </c>
      <c r="E83" s="105">
        <f t="shared" si="21"/>
        <v>-61302</v>
      </c>
      <c r="F83" s="106">
        <f t="shared" si="18"/>
        <v>91.8</v>
      </c>
      <c r="G83" s="105"/>
      <c r="H83" s="105"/>
      <c r="I83" s="105"/>
      <c r="J83" s="105"/>
      <c r="K83" s="105">
        <v>745716</v>
      </c>
      <c r="L83" s="105">
        <v>684414</v>
      </c>
    </row>
    <row r="84" spans="1:12" ht="30" customHeight="1" x14ac:dyDescent="0.2">
      <c r="A84" s="102">
        <v>77</v>
      </c>
      <c r="B84" s="103" t="s">
        <v>456</v>
      </c>
      <c r="C84" s="96">
        <f t="shared" si="19"/>
        <v>76071</v>
      </c>
      <c r="D84" s="96">
        <f t="shared" si="20"/>
        <v>6377</v>
      </c>
      <c r="E84" s="96">
        <f t="shared" si="21"/>
        <v>-69694</v>
      </c>
      <c r="F84" s="104">
        <f t="shared" si="18"/>
        <v>8.4</v>
      </c>
      <c r="G84" s="96">
        <v>6372</v>
      </c>
      <c r="H84" s="96">
        <v>6349</v>
      </c>
      <c r="I84" s="96"/>
      <c r="J84" s="96"/>
      <c r="K84" s="96">
        <v>69699</v>
      </c>
      <c r="L84" s="96">
        <v>28</v>
      </c>
    </row>
    <row r="85" spans="1:12" ht="38.25" x14ac:dyDescent="0.2">
      <c r="A85" s="102">
        <v>78</v>
      </c>
      <c r="B85" s="103" t="s">
        <v>457</v>
      </c>
      <c r="C85" s="96">
        <f t="shared" si="19"/>
        <v>9000</v>
      </c>
      <c r="D85" s="96">
        <f t="shared" si="20"/>
        <v>0</v>
      </c>
      <c r="E85" s="96">
        <f t="shared" si="21"/>
        <v>-9000</v>
      </c>
      <c r="F85" s="104">
        <f t="shared" si="18"/>
        <v>0</v>
      </c>
      <c r="G85" s="96"/>
      <c r="H85" s="96"/>
      <c r="I85" s="96"/>
      <c r="J85" s="96"/>
      <c r="K85" s="96">
        <v>9000</v>
      </c>
      <c r="L85" s="96"/>
    </row>
    <row r="86" spans="1:12" s="9" customFormat="1" ht="12.75" x14ac:dyDescent="0.2">
      <c r="A86" s="102">
        <v>79</v>
      </c>
      <c r="B86" s="103" t="s">
        <v>198</v>
      </c>
      <c r="C86" s="96">
        <f>+C88+C89</f>
        <v>967743</v>
      </c>
      <c r="D86" s="96">
        <f t="shared" ref="D86:L86" si="23">+D88+D89</f>
        <v>926435</v>
      </c>
      <c r="E86" s="96">
        <f t="shared" si="23"/>
        <v>-41308</v>
      </c>
      <c r="F86" s="104">
        <f t="shared" si="18"/>
        <v>95.7</v>
      </c>
      <c r="G86" s="96">
        <f t="shared" si="23"/>
        <v>325712</v>
      </c>
      <c r="H86" s="96">
        <f t="shared" si="23"/>
        <v>292146</v>
      </c>
      <c r="I86" s="96">
        <f t="shared" si="23"/>
        <v>1850</v>
      </c>
      <c r="J86" s="96">
        <f t="shared" si="23"/>
        <v>1300</v>
      </c>
      <c r="K86" s="96">
        <f t="shared" si="23"/>
        <v>642031</v>
      </c>
      <c r="L86" s="96">
        <f t="shared" si="23"/>
        <v>634289</v>
      </c>
    </row>
    <row r="87" spans="1:12" s="9" customFormat="1" ht="12.6" customHeight="1" x14ac:dyDescent="0.2">
      <c r="A87" s="102">
        <v>80</v>
      </c>
      <c r="B87" s="101" t="s">
        <v>3</v>
      </c>
      <c r="C87" s="96">
        <f t="shared" si="19"/>
        <v>0</v>
      </c>
      <c r="D87" s="105">
        <f t="shared" si="20"/>
        <v>0</v>
      </c>
      <c r="E87" s="105">
        <f t="shared" si="21"/>
        <v>0</v>
      </c>
      <c r="F87" s="106"/>
      <c r="G87" s="105"/>
      <c r="H87" s="96"/>
      <c r="I87" s="105"/>
      <c r="J87" s="96"/>
      <c r="K87" s="105"/>
      <c r="L87" s="96"/>
    </row>
    <row r="88" spans="1:12" s="9" customFormat="1" ht="27" customHeight="1" x14ac:dyDescent="0.2">
      <c r="A88" s="102">
        <v>81</v>
      </c>
      <c r="B88" s="109" t="s">
        <v>199</v>
      </c>
      <c r="C88" s="105">
        <f t="shared" si="19"/>
        <v>799943</v>
      </c>
      <c r="D88" s="105">
        <f t="shared" si="20"/>
        <v>758660</v>
      </c>
      <c r="E88" s="105">
        <f t="shared" si="21"/>
        <v>-41283</v>
      </c>
      <c r="F88" s="106">
        <f t="shared" si="18"/>
        <v>94.8</v>
      </c>
      <c r="G88" s="105">
        <v>325712</v>
      </c>
      <c r="H88" s="105">
        <v>292146</v>
      </c>
      <c r="I88" s="105">
        <v>1850</v>
      </c>
      <c r="J88" s="105">
        <v>1300</v>
      </c>
      <c r="K88" s="105">
        <v>474231</v>
      </c>
      <c r="L88" s="105">
        <v>466514</v>
      </c>
    </row>
    <row r="89" spans="1:12" s="9" customFormat="1" ht="12.75" x14ac:dyDescent="0.2">
      <c r="A89" s="102">
        <v>82</v>
      </c>
      <c r="B89" s="109" t="s">
        <v>200</v>
      </c>
      <c r="C89" s="105">
        <f t="shared" si="19"/>
        <v>167800</v>
      </c>
      <c r="D89" s="105">
        <f t="shared" si="20"/>
        <v>167775</v>
      </c>
      <c r="E89" s="105">
        <f t="shared" si="21"/>
        <v>-25</v>
      </c>
      <c r="F89" s="106">
        <f t="shared" si="18"/>
        <v>100</v>
      </c>
      <c r="G89" s="105"/>
      <c r="H89" s="105"/>
      <c r="I89" s="105"/>
      <c r="J89" s="105"/>
      <c r="K89" s="105">
        <v>167800</v>
      </c>
      <c r="L89" s="105">
        <v>167775</v>
      </c>
    </row>
    <row r="90" spans="1:12" s="9" customFormat="1" ht="12.75" x14ac:dyDescent="0.2">
      <c r="A90" s="102">
        <v>83</v>
      </c>
      <c r="B90" s="113" t="s">
        <v>201</v>
      </c>
      <c r="C90" s="96">
        <f>+C92+C93+C94</f>
        <v>1009377</v>
      </c>
      <c r="D90" s="96">
        <f t="shared" ref="D90:L90" si="24">+D92+D93+D94</f>
        <v>588398</v>
      </c>
      <c r="E90" s="96">
        <f t="shared" si="24"/>
        <v>-420979</v>
      </c>
      <c r="F90" s="104">
        <f t="shared" si="18"/>
        <v>58.3</v>
      </c>
      <c r="G90" s="96">
        <f t="shared" si="24"/>
        <v>0</v>
      </c>
      <c r="H90" s="96">
        <f t="shared" si="24"/>
        <v>0</v>
      </c>
      <c r="I90" s="96">
        <f t="shared" si="24"/>
        <v>0</v>
      </c>
      <c r="J90" s="96">
        <f t="shared" si="24"/>
        <v>0</v>
      </c>
      <c r="K90" s="96">
        <f t="shared" si="24"/>
        <v>1009377</v>
      </c>
      <c r="L90" s="96">
        <f t="shared" si="24"/>
        <v>588398</v>
      </c>
    </row>
    <row r="91" spans="1:12" s="9" customFormat="1" ht="14.45" customHeight="1" x14ac:dyDescent="0.2">
      <c r="A91" s="102">
        <v>84</v>
      </c>
      <c r="B91" s="101" t="s">
        <v>3</v>
      </c>
      <c r="C91" s="96">
        <f t="shared" si="19"/>
        <v>0</v>
      </c>
      <c r="D91" s="105">
        <f t="shared" si="20"/>
        <v>0</v>
      </c>
      <c r="E91" s="105">
        <f t="shared" si="21"/>
        <v>0</v>
      </c>
      <c r="F91" s="106"/>
      <c r="G91" s="105"/>
      <c r="H91" s="96"/>
      <c r="I91" s="105"/>
      <c r="J91" s="96"/>
      <c r="K91" s="105"/>
      <c r="L91" s="96"/>
    </row>
    <row r="92" spans="1:12" s="9" customFormat="1" ht="24.95" customHeight="1" x14ac:dyDescent="0.2">
      <c r="A92" s="102">
        <v>85</v>
      </c>
      <c r="B92" s="109" t="s">
        <v>202</v>
      </c>
      <c r="C92" s="105">
        <f t="shared" si="19"/>
        <v>137678</v>
      </c>
      <c r="D92" s="105">
        <f t="shared" si="20"/>
        <v>61903</v>
      </c>
      <c r="E92" s="105">
        <f t="shared" si="21"/>
        <v>-75775</v>
      </c>
      <c r="F92" s="106">
        <f t="shared" si="18"/>
        <v>45</v>
      </c>
      <c r="G92" s="105"/>
      <c r="H92" s="105"/>
      <c r="I92" s="105"/>
      <c r="J92" s="105"/>
      <c r="K92" s="105">
        <v>137678</v>
      </c>
      <c r="L92" s="105">
        <v>61903</v>
      </c>
    </row>
    <row r="93" spans="1:12" s="9" customFormat="1" ht="18.95" customHeight="1" x14ac:dyDescent="0.2">
      <c r="A93" s="102">
        <v>86</v>
      </c>
      <c r="B93" s="109" t="s">
        <v>339</v>
      </c>
      <c r="C93" s="105">
        <f t="shared" si="19"/>
        <v>435531</v>
      </c>
      <c r="D93" s="105">
        <f t="shared" si="20"/>
        <v>90327</v>
      </c>
      <c r="E93" s="105">
        <f t="shared" si="21"/>
        <v>-345204</v>
      </c>
      <c r="F93" s="106">
        <f t="shared" si="18"/>
        <v>20.7</v>
      </c>
      <c r="G93" s="105"/>
      <c r="H93" s="105"/>
      <c r="I93" s="105"/>
      <c r="J93" s="105"/>
      <c r="K93" s="105">
        <v>435531</v>
      </c>
      <c r="L93" s="105">
        <v>90327</v>
      </c>
    </row>
    <row r="94" spans="1:12" s="9" customFormat="1" ht="44.45" customHeight="1" x14ac:dyDescent="0.2">
      <c r="A94" s="102">
        <v>87</v>
      </c>
      <c r="B94" s="109" t="s">
        <v>203</v>
      </c>
      <c r="C94" s="105">
        <f>+G94+K94</f>
        <v>436168</v>
      </c>
      <c r="D94" s="105">
        <f>+H94+L94</f>
        <v>436168</v>
      </c>
      <c r="E94" s="105">
        <f>+D94-C94</f>
        <v>0</v>
      </c>
      <c r="F94" s="106">
        <f t="shared" si="18"/>
        <v>100</v>
      </c>
      <c r="G94" s="105"/>
      <c r="H94" s="105"/>
      <c r="I94" s="105"/>
      <c r="J94" s="105"/>
      <c r="K94" s="105">
        <v>436168</v>
      </c>
      <c r="L94" s="105">
        <v>436168</v>
      </c>
    </row>
    <row r="95" spans="1:12" ht="15.6" customHeight="1" x14ac:dyDescent="0.2">
      <c r="A95" s="102">
        <v>88</v>
      </c>
      <c r="B95" s="113" t="s">
        <v>204</v>
      </c>
      <c r="C95" s="96">
        <f>+C97+C98</f>
        <v>226349</v>
      </c>
      <c r="D95" s="96">
        <f t="shared" ref="D95:L95" si="25">+D97+D98</f>
        <v>161054</v>
      </c>
      <c r="E95" s="96">
        <f t="shared" si="25"/>
        <v>-65295</v>
      </c>
      <c r="F95" s="104">
        <f t="shared" si="18"/>
        <v>71.2</v>
      </c>
      <c r="G95" s="96">
        <f t="shared" si="25"/>
        <v>17104</v>
      </c>
      <c r="H95" s="96">
        <f t="shared" si="25"/>
        <v>10870</v>
      </c>
      <c r="I95" s="96">
        <f t="shared" si="25"/>
        <v>552</v>
      </c>
      <c r="J95" s="96">
        <f t="shared" si="25"/>
        <v>488</v>
      </c>
      <c r="K95" s="96">
        <f t="shared" si="25"/>
        <v>209245</v>
      </c>
      <c r="L95" s="96">
        <f t="shared" si="25"/>
        <v>150184</v>
      </c>
    </row>
    <row r="96" spans="1:12" ht="12.75" x14ac:dyDescent="0.2">
      <c r="A96" s="102">
        <v>89</v>
      </c>
      <c r="B96" s="101" t="s">
        <v>3</v>
      </c>
      <c r="C96" s="105">
        <f t="shared" ref="C96:D98" si="26">+G96+K96</f>
        <v>0</v>
      </c>
      <c r="D96" s="105">
        <f t="shared" si="26"/>
        <v>0</v>
      </c>
      <c r="E96" s="105">
        <f>+D96-C96</f>
        <v>0</v>
      </c>
      <c r="F96" s="104"/>
      <c r="G96" s="96"/>
      <c r="H96" s="96"/>
      <c r="I96" s="96"/>
      <c r="J96" s="96"/>
      <c r="K96" s="96"/>
      <c r="L96" s="96"/>
    </row>
    <row r="97" spans="1:12" ht="23.1" customHeight="1" x14ac:dyDescent="0.2">
      <c r="A97" s="102">
        <v>90</v>
      </c>
      <c r="B97" s="109" t="s">
        <v>205</v>
      </c>
      <c r="C97" s="105">
        <f t="shared" si="26"/>
        <v>186555</v>
      </c>
      <c r="D97" s="105">
        <f t="shared" si="26"/>
        <v>136550</v>
      </c>
      <c r="E97" s="105">
        <f>+D97-C97</f>
        <v>-50005</v>
      </c>
      <c r="F97" s="106">
        <f t="shared" si="18"/>
        <v>73.2</v>
      </c>
      <c r="G97" s="105">
        <v>17104</v>
      </c>
      <c r="H97" s="105">
        <v>10870</v>
      </c>
      <c r="I97" s="105">
        <v>552</v>
      </c>
      <c r="J97" s="105">
        <v>488</v>
      </c>
      <c r="K97" s="105">
        <f>169451</f>
        <v>169451</v>
      </c>
      <c r="L97" s="105">
        <f>122408+3272</f>
        <v>125680</v>
      </c>
    </row>
    <row r="98" spans="1:12" ht="25.5" x14ac:dyDescent="0.2">
      <c r="A98" s="102">
        <v>91</v>
      </c>
      <c r="B98" s="109" t="s">
        <v>206</v>
      </c>
      <c r="C98" s="105">
        <f t="shared" si="26"/>
        <v>39794</v>
      </c>
      <c r="D98" s="105">
        <f t="shared" si="26"/>
        <v>24504</v>
      </c>
      <c r="E98" s="105">
        <f>+D98-C98</f>
        <v>-15290</v>
      </c>
      <c r="F98" s="106">
        <f t="shared" si="18"/>
        <v>61.6</v>
      </c>
      <c r="G98" s="105"/>
      <c r="H98" s="105"/>
      <c r="I98" s="105"/>
      <c r="J98" s="105"/>
      <c r="K98" s="105">
        <v>39794</v>
      </c>
      <c r="L98" s="105">
        <v>24504</v>
      </c>
    </row>
    <row r="99" spans="1:12" s="18" customFormat="1" ht="38.25" x14ac:dyDescent="0.2">
      <c r="A99" s="102">
        <v>92</v>
      </c>
      <c r="B99" s="112" t="s">
        <v>458</v>
      </c>
      <c r="C99" s="96">
        <f t="shared" si="19"/>
        <v>288140</v>
      </c>
      <c r="D99" s="96">
        <f t="shared" si="20"/>
        <v>288140</v>
      </c>
      <c r="E99" s="96">
        <f t="shared" si="21"/>
        <v>0</v>
      </c>
      <c r="F99" s="104">
        <f t="shared" si="18"/>
        <v>100</v>
      </c>
      <c r="G99" s="96"/>
      <c r="H99" s="96"/>
      <c r="I99" s="96"/>
      <c r="J99" s="96"/>
      <c r="K99" s="96">
        <v>288140</v>
      </c>
      <c r="L99" s="96">
        <v>288140</v>
      </c>
    </row>
    <row r="100" spans="1:12" s="18" customFormat="1" ht="12.75" x14ac:dyDescent="0.2">
      <c r="A100" s="102">
        <v>93</v>
      </c>
      <c r="B100" s="103" t="s">
        <v>207</v>
      </c>
      <c r="C100" s="96">
        <f>+C101</f>
        <v>329327</v>
      </c>
      <c r="D100" s="96">
        <f>+D101</f>
        <v>645691</v>
      </c>
      <c r="E100" s="96">
        <f>+E101</f>
        <v>316364</v>
      </c>
      <c r="F100" s="104">
        <f t="shared" si="18"/>
        <v>196.1</v>
      </c>
      <c r="G100" s="96">
        <f t="shared" ref="G100:L100" si="27">+G101</f>
        <v>176495</v>
      </c>
      <c r="H100" s="96">
        <f t="shared" si="27"/>
        <v>133087</v>
      </c>
      <c r="I100" s="96">
        <f t="shared" si="27"/>
        <v>1477</v>
      </c>
      <c r="J100" s="96">
        <f t="shared" si="27"/>
        <v>1305</v>
      </c>
      <c r="K100" s="96">
        <f t="shared" si="27"/>
        <v>152832</v>
      </c>
      <c r="L100" s="96">
        <f t="shared" si="27"/>
        <v>512604</v>
      </c>
    </row>
    <row r="101" spans="1:12" s="18" customFormat="1" ht="25.5" x14ac:dyDescent="0.2">
      <c r="A101" s="102">
        <v>94</v>
      </c>
      <c r="B101" s="103" t="s">
        <v>449</v>
      </c>
      <c r="C101" s="96">
        <f t="shared" si="19"/>
        <v>329327</v>
      </c>
      <c r="D101" s="96">
        <f t="shared" si="20"/>
        <v>645691</v>
      </c>
      <c r="E101" s="96">
        <f t="shared" si="21"/>
        <v>316364</v>
      </c>
      <c r="F101" s="104">
        <f t="shared" si="18"/>
        <v>196.1</v>
      </c>
      <c r="G101" s="96">
        <f>329327-152832</f>
        <v>176495</v>
      </c>
      <c r="H101" s="96">
        <f>645691-512604</f>
        <v>133087</v>
      </c>
      <c r="I101" s="96">
        <v>1477</v>
      </c>
      <c r="J101" s="96">
        <v>1305</v>
      </c>
      <c r="K101" s="96">
        <v>152832</v>
      </c>
      <c r="L101" s="96">
        <v>512604</v>
      </c>
    </row>
    <row r="102" spans="1:12" ht="12.75" x14ac:dyDescent="0.2">
      <c r="A102" s="102">
        <v>95</v>
      </c>
      <c r="B102" s="103" t="s">
        <v>9</v>
      </c>
      <c r="C102" s="96">
        <f>+C103+C108+C112+C117+C118+C122+C123</f>
        <v>26209729</v>
      </c>
      <c r="D102" s="96">
        <f>+D103+D108+D112+D117+D118+D122+D123</f>
        <v>25742472</v>
      </c>
      <c r="E102" s="96">
        <f>+E103+E108+E112+E117+E118+E122+E123</f>
        <v>-467257</v>
      </c>
      <c r="F102" s="104">
        <f t="shared" si="18"/>
        <v>98.2</v>
      </c>
      <c r="G102" s="96">
        <f t="shared" ref="G102:L102" si="28">+G103+G108+G112+G117+G118+G122+G123</f>
        <v>23909888</v>
      </c>
      <c r="H102" s="96">
        <f t="shared" si="28"/>
        <v>23348951</v>
      </c>
      <c r="I102" s="96">
        <f t="shared" si="28"/>
        <v>266975</v>
      </c>
      <c r="J102" s="96">
        <f t="shared" si="28"/>
        <v>266975</v>
      </c>
      <c r="K102" s="96">
        <f t="shared" si="28"/>
        <v>2299841</v>
      </c>
      <c r="L102" s="96">
        <f t="shared" si="28"/>
        <v>2393521</v>
      </c>
    </row>
    <row r="103" spans="1:12" ht="12.75" x14ac:dyDescent="0.2">
      <c r="A103" s="102">
        <v>96</v>
      </c>
      <c r="B103" s="113" t="s">
        <v>208</v>
      </c>
      <c r="C103" s="96">
        <f>SUM(C105:C107)</f>
        <v>5260956</v>
      </c>
      <c r="D103" s="96">
        <f t="shared" ref="D103:L103" si="29">SUM(D105:D107)</f>
        <v>5150419</v>
      </c>
      <c r="E103" s="96">
        <f t="shared" si="29"/>
        <v>-110537</v>
      </c>
      <c r="F103" s="104">
        <f t="shared" si="18"/>
        <v>97.9</v>
      </c>
      <c r="G103" s="96">
        <f t="shared" si="29"/>
        <v>5260956</v>
      </c>
      <c r="H103" s="96">
        <f t="shared" si="29"/>
        <v>5143224</v>
      </c>
      <c r="I103" s="96">
        <f t="shared" si="29"/>
        <v>0</v>
      </c>
      <c r="J103" s="96">
        <f t="shared" si="29"/>
        <v>0</v>
      </c>
      <c r="K103" s="96">
        <f t="shared" si="29"/>
        <v>0</v>
      </c>
      <c r="L103" s="96">
        <f t="shared" si="29"/>
        <v>7195</v>
      </c>
    </row>
    <row r="104" spans="1:12" ht="14.45" customHeight="1" x14ac:dyDescent="0.2">
      <c r="A104" s="102">
        <v>97</v>
      </c>
      <c r="B104" s="101" t="s">
        <v>3</v>
      </c>
      <c r="C104" s="96">
        <f t="shared" si="19"/>
        <v>0</v>
      </c>
      <c r="D104" s="105">
        <f t="shared" si="20"/>
        <v>0</v>
      </c>
      <c r="E104" s="105">
        <f t="shared" si="21"/>
        <v>0</v>
      </c>
      <c r="F104" s="106"/>
      <c r="G104" s="105"/>
      <c r="H104" s="105"/>
      <c r="I104" s="105"/>
      <c r="J104" s="105"/>
      <c r="K104" s="105"/>
      <c r="L104" s="105"/>
    </row>
    <row r="105" spans="1:12" ht="17.45" customHeight="1" x14ac:dyDescent="0.2">
      <c r="A105" s="102">
        <v>98</v>
      </c>
      <c r="B105" s="109" t="s">
        <v>192</v>
      </c>
      <c r="C105" s="105">
        <f t="shared" si="19"/>
        <v>4814933</v>
      </c>
      <c r="D105" s="105">
        <f t="shared" si="20"/>
        <v>4776656</v>
      </c>
      <c r="E105" s="105">
        <f t="shared" si="21"/>
        <v>-38277</v>
      </c>
      <c r="F105" s="106">
        <f t="shared" si="18"/>
        <v>99.2</v>
      </c>
      <c r="G105" s="105">
        <v>4814933</v>
      </c>
      <c r="H105" s="105">
        <v>4776656</v>
      </c>
      <c r="I105" s="105"/>
      <c r="J105" s="105"/>
      <c r="K105" s="105"/>
      <c r="L105" s="105"/>
    </row>
    <row r="106" spans="1:12" s="18" customFormat="1" ht="41.45" customHeight="1" x14ac:dyDescent="0.2">
      <c r="A106" s="102">
        <v>99</v>
      </c>
      <c r="B106" s="109" t="s">
        <v>340</v>
      </c>
      <c r="C106" s="105">
        <f t="shared" si="19"/>
        <v>93962</v>
      </c>
      <c r="D106" s="105">
        <f t="shared" si="20"/>
        <v>26870</v>
      </c>
      <c r="E106" s="105">
        <f t="shared" si="21"/>
        <v>-67092</v>
      </c>
      <c r="F106" s="106">
        <f t="shared" si="18"/>
        <v>28.6</v>
      </c>
      <c r="G106" s="105">
        <v>93962</v>
      </c>
      <c r="H106" s="105">
        <v>26870</v>
      </c>
      <c r="I106" s="105"/>
      <c r="J106" s="105"/>
      <c r="K106" s="105"/>
      <c r="L106" s="105"/>
    </row>
    <row r="107" spans="1:12" s="9" customFormat="1" ht="12.75" x14ac:dyDescent="0.2">
      <c r="A107" s="102">
        <v>100</v>
      </c>
      <c r="B107" s="107" t="s">
        <v>194</v>
      </c>
      <c r="C107" s="105">
        <f t="shared" si="19"/>
        <v>352061</v>
      </c>
      <c r="D107" s="105">
        <f t="shared" si="20"/>
        <v>346893</v>
      </c>
      <c r="E107" s="105">
        <f t="shared" si="21"/>
        <v>-5168</v>
      </c>
      <c r="F107" s="106">
        <f t="shared" si="18"/>
        <v>98.5</v>
      </c>
      <c r="G107" s="105">
        <v>352061</v>
      </c>
      <c r="H107" s="105">
        <f>320556+26337-7195</f>
        <v>339698</v>
      </c>
      <c r="I107" s="105"/>
      <c r="J107" s="105"/>
      <c r="K107" s="105"/>
      <c r="L107" s="105">
        <v>7195</v>
      </c>
    </row>
    <row r="108" spans="1:12" ht="12.75" x14ac:dyDescent="0.2">
      <c r="A108" s="102">
        <v>101</v>
      </c>
      <c r="B108" s="103" t="s">
        <v>455</v>
      </c>
      <c r="C108" s="96">
        <f>+C110+C111</f>
        <v>9291672</v>
      </c>
      <c r="D108" s="96">
        <f>+D110+D111</f>
        <v>9252474</v>
      </c>
      <c r="E108" s="96">
        <f t="shared" si="21"/>
        <v>-39198</v>
      </c>
      <c r="F108" s="104">
        <f t="shared" si="18"/>
        <v>99.6</v>
      </c>
      <c r="G108" s="96">
        <f t="shared" ref="G108:L108" si="30">+G110+G111</f>
        <v>8221030</v>
      </c>
      <c r="H108" s="96">
        <f t="shared" si="30"/>
        <v>8197901</v>
      </c>
      <c r="I108" s="96">
        <f t="shared" si="30"/>
        <v>1724</v>
      </c>
      <c r="J108" s="96">
        <f t="shared" si="30"/>
        <v>1724</v>
      </c>
      <c r="K108" s="96">
        <f t="shared" si="30"/>
        <v>1070642</v>
      </c>
      <c r="L108" s="96">
        <f t="shared" si="30"/>
        <v>1054573</v>
      </c>
    </row>
    <row r="109" spans="1:12" ht="12.75" x14ac:dyDescent="0.2">
      <c r="A109" s="102">
        <v>102</v>
      </c>
      <c r="B109" s="101" t="s">
        <v>3</v>
      </c>
      <c r="C109" s="96">
        <f t="shared" si="19"/>
        <v>0</v>
      </c>
      <c r="D109" s="105">
        <f t="shared" si="20"/>
        <v>0</v>
      </c>
      <c r="E109" s="105">
        <f t="shared" si="21"/>
        <v>0</v>
      </c>
      <c r="F109" s="106"/>
      <c r="G109" s="105"/>
      <c r="H109" s="105"/>
      <c r="I109" s="105"/>
      <c r="J109" s="105"/>
      <c r="K109" s="105"/>
      <c r="L109" s="105"/>
    </row>
    <row r="110" spans="1:12" ht="23.45" customHeight="1" x14ac:dyDescent="0.2">
      <c r="A110" s="102">
        <v>103</v>
      </c>
      <c r="B110" s="107" t="s">
        <v>195</v>
      </c>
      <c r="C110" s="105">
        <f t="shared" si="19"/>
        <v>6350843</v>
      </c>
      <c r="D110" s="105">
        <f t="shared" si="20"/>
        <v>6312235</v>
      </c>
      <c r="E110" s="105">
        <f t="shared" si="21"/>
        <v>-38608</v>
      </c>
      <c r="F110" s="106">
        <f t="shared" si="18"/>
        <v>99.4</v>
      </c>
      <c r="G110" s="105">
        <f>5285698+936627+3717</f>
        <v>6226042</v>
      </c>
      <c r="H110" s="105">
        <f>5229385+963339+6482+3717</f>
        <v>6202923</v>
      </c>
      <c r="I110" s="105">
        <v>1724</v>
      </c>
      <c r="J110" s="105">
        <v>1724</v>
      </c>
      <c r="K110" s="105">
        <v>124801</v>
      </c>
      <c r="L110" s="105">
        <f>105320+3992</f>
        <v>109312</v>
      </c>
    </row>
    <row r="111" spans="1:12" ht="51" x14ac:dyDescent="0.2">
      <c r="A111" s="102">
        <v>104</v>
      </c>
      <c r="B111" s="107" t="s">
        <v>338</v>
      </c>
      <c r="C111" s="105">
        <f>+G111+K111</f>
        <v>2940829</v>
      </c>
      <c r="D111" s="105">
        <f>+H111+L111</f>
        <v>2940239</v>
      </c>
      <c r="E111" s="105">
        <f>+D111-C111</f>
        <v>-590</v>
      </c>
      <c r="F111" s="106">
        <f t="shared" si="18"/>
        <v>100</v>
      </c>
      <c r="G111" s="105">
        <v>1994988</v>
      </c>
      <c r="H111" s="105">
        <v>1994978</v>
      </c>
      <c r="I111" s="105"/>
      <c r="J111" s="105"/>
      <c r="K111" s="105">
        <v>945841</v>
      </c>
      <c r="L111" s="105">
        <v>945261</v>
      </c>
    </row>
    <row r="112" spans="1:12" ht="25.5" x14ac:dyDescent="0.2">
      <c r="A112" s="102">
        <v>105</v>
      </c>
      <c r="B112" s="103" t="s">
        <v>209</v>
      </c>
      <c r="C112" s="96">
        <f>SUM(C114:C116)</f>
        <v>9647339</v>
      </c>
      <c r="D112" s="96">
        <f t="shared" ref="D112:L112" si="31">SUM(D114:D116)</f>
        <v>9398999</v>
      </c>
      <c r="E112" s="96">
        <f t="shared" si="31"/>
        <v>-248340</v>
      </c>
      <c r="F112" s="104">
        <f t="shared" si="18"/>
        <v>97.4</v>
      </c>
      <c r="G112" s="96">
        <f t="shared" si="31"/>
        <v>8869327</v>
      </c>
      <c r="H112" s="96">
        <f t="shared" si="31"/>
        <v>8498481</v>
      </c>
      <c r="I112" s="96">
        <f t="shared" si="31"/>
        <v>265251</v>
      </c>
      <c r="J112" s="96">
        <f t="shared" si="31"/>
        <v>265251</v>
      </c>
      <c r="K112" s="96">
        <f t="shared" si="31"/>
        <v>778012</v>
      </c>
      <c r="L112" s="96">
        <f t="shared" si="31"/>
        <v>900518</v>
      </c>
    </row>
    <row r="113" spans="1:12" s="9" customFormat="1" ht="12.75" x14ac:dyDescent="0.2">
      <c r="A113" s="102">
        <v>106</v>
      </c>
      <c r="B113" s="101" t="s">
        <v>3</v>
      </c>
      <c r="C113" s="96">
        <f t="shared" si="19"/>
        <v>0</v>
      </c>
      <c r="D113" s="96">
        <f t="shared" si="20"/>
        <v>0</v>
      </c>
      <c r="E113" s="96">
        <f t="shared" si="21"/>
        <v>0</v>
      </c>
      <c r="F113" s="104"/>
      <c r="G113" s="96"/>
      <c r="H113" s="96"/>
      <c r="I113" s="96"/>
      <c r="J113" s="96"/>
      <c r="K113" s="96"/>
      <c r="L113" s="96"/>
    </row>
    <row r="114" spans="1:12" ht="28.5" customHeight="1" x14ac:dyDescent="0.2">
      <c r="A114" s="102">
        <v>107</v>
      </c>
      <c r="B114" s="109" t="s">
        <v>197</v>
      </c>
      <c r="C114" s="105">
        <f t="shared" si="19"/>
        <v>9603620</v>
      </c>
      <c r="D114" s="105">
        <f t="shared" si="20"/>
        <v>9362692</v>
      </c>
      <c r="E114" s="105">
        <f t="shared" si="21"/>
        <v>-240928</v>
      </c>
      <c r="F114" s="106">
        <f t="shared" si="18"/>
        <v>97.5</v>
      </c>
      <c r="G114" s="105">
        <f>9603620-778012</f>
        <v>8825608</v>
      </c>
      <c r="H114" s="105">
        <f>9362692-900518</f>
        <v>8462174</v>
      </c>
      <c r="I114" s="105">
        <v>250029</v>
      </c>
      <c r="J114" s="105">
        <v>250029</v>
      </c>
      <c r="K114" s="105">
        <v>778012</v>
      </c>
      <c r="L114" s="105">
        <v>900518</v>
      </c>
    </row>
    <row r="115" spans="1:12" s="9" customFormat="1" ht="39" customHeight="1" x14ac:dyDescent="0.2">
      <c r="A115" s="102">
        <v>108</v>
      </c>
      <c r="B115" s="107" t="s">
        <v>341</v>
      </c>
      <c r="C115" s="105">
        <f t="shared" si="19"/>
        <v>7609</v>
      </c>
      <c r="D115" s="105">
        <f t="shared" si="20"/>
        <v>7609</v>
      </c>
      <c r="E115" s="105">
        <f t="shared" si="21"/>
        <v>0</v>
      </c>
      <c r="F115" s="106">
        <f t="shared" si="18"/>
        <v>100</v>
      </c>
      <c r="G115" s="105">
        <v>7609</v>
      </c>
      <c r="H115" s="105">
        <v>7609</v>
      </c>
      <c r="I115" s="105">
        <v>5809</v>
      </c>
      <c r="J115" s="105">
        <v>5809</v>
      </c>
      <c r="K115" s="105"/>
      <c r="L115" s="105"/>
    </row>
    <row r="116" spans="1:12" ht="38.25" x14ac:dyDescent="0.2">
      <c r="A116" s="102">
        <v>109</v>
      </c>
      <c r="B116" s="107" t="s">
        <v>210</v>
      </c>
      <c r="C116" s="105">
        <f t="shared" si="19"/>
        <v>36110</v>
      </c>
      <c r="D116" s="105">
        <f t="shared" si="20"/>
        <v>28698</v>
      </c>
      <c r="E116" s="105">
        <f t="shared" si="21"/>
        <v>-7412</v>
      </c>
      <c r="F116" s="106">
        <f t="shared" si="18"/>
        <v>79.5</v>
      </c>
      <c r="G116" s="115">
        <v>36110</v>
      </c>
      <c r="H116" s="115">
        <v>28698</v>
      </c>
      <c r="I116" s="115">
        <v>9413</v>
      </c>
      <c r="J116" s="115">
        <v>9413</v>
      </c>
      <c r="K116" s="115"/>
      <c r="L116" s="115"/>
    </row>
    <row r="117" spans="1:12" ht="38.25" x14ac:dyDescent="0.2">
      <c r="A117" s="102">
        <v>110</v>
      </c>
      <c r="B117" s="103" t="s">
        <v>457</v>
      </c>
      <c r="C117" s="96">
        <f t="shared" si="19"/>
        <v>103211</v>
      </c>
      <c r="D117" s="96">
        <f t="shared" si="20"/>
        <v>103211</v>
      </c>
      <c r="E117" s="96">
        <f t="shared" si="21"/>
        <v>0</v>
      </c>
      <c r="F117" s="104">
        <f t="shared" si="18"/>
        <v>100</v>
      </c>
      <c r="G117" s="96">
        <v>5792</v>
      </c>
      <c r="H117" s="96">
        <v>5792</v>
      </c>
      <c r="I117" s="96"/>
      <c r="J117" s="96"/>
      <c r="K117" s="96">
        <v>97419</v>
      </c>
      <c r="L117" s="96">
        <v>97419</v>
      </c>
    </row>
    <row r="118" spans="1:12" ht="12.75" x14ac:dyDescent="0.2">
      <c r="A118" s="102">
        <v>111</v>
      </c>
      <c r="B118" s="103" t="s">
        <v>198</v>
      </c>
      <c r="C118" s="96">
        <f>+C120+C121</f>
        <v>1585364</v>
      </c>
      <c r="D118" s="96">
        <f>+D120+D121</f>
        <v>1537793</v>
      </c>
      <c r="E118" s="96">
        <f t="shared" si="21"/>
        <v>-47571</v>
      </c>
      <c r="F118" s="104">
        <f t="shared" si="18"/>
        <v>97</v>
      </c>
      <c r="G118" s="96">
        <f t="shared" ref="G118:L118" si="32">+G120+G121</f>
        <v>1456575</v>
      </c>
      <c r="H118" s="96">
        <f t="shared" si="32"/>
        <v>1409096</v>
      </c>
      <c r="I118" s="96">
        <f t="shared" si="32"/>
        <v>0</v>
      </c>
      <c r="J118" s="96">
        <f t="shared" si="32"/>
        <v>0</v>
      </c>
      <c r="K118" s="96">
        <f t="shared" si="32"/>
        <v>128789</v>
      </c>
      <c r="L118" s="96">
        <f t="shared" si="32"/>
        <v>128697</v>
      </c>
    </row>
    <row r="119" spans="1:12" s="9" customFormat="1" ht="12.75" x14ac:dyDescent="0.2">
      <c r="A119" s="102">
        <v>112</v>
      </c>
      <c r="B119" s="101" t="s">
        <v>3</v>
      </c>
      <c r="C119" s="105">
        <f t="shared" si="19"/>
        <v>0</v>
      </c>
      <c r="D119" s="105">
        <f t="shared" si="20"/>
        <v>0</v>
      </c>
      <c r="E119" s="105">
        <f t="shared" si="21"/>
        <v>0</v>
      </c>
      <c r="F119" s="106"/>
      <c r="G119" s="105"/>
      <c r="H119" s="105"/>
      <c r="I119" s="105"/>
      <c r="J119" s="105"/>
      <c r="K119" s="105"/>
      <c r="L119" s="105"/>
    </row>
    <row r="120" spans="1:12" ht="25.5" x14ac:dyDescent="0.2">
      <c r="A120" s="102">
        <v>113</v>
      </c>
      <c r="B120" s="107" t="s">
        <v>199</v>
      </c>
      <c r="C120" s="105">
        <f t="shared" si="19"/>
        <v>1578500</v>
      </c>
      <c r="D120" s="105">
        <f t="shared" si="20"/>
        <v>1530929</v>
      </c>
      <c r="E120" s="105">
        <f t="shared" si="21"/>
        <v>-47571</v>
      </c>
      <c r="F120" s="106">
        <f t="shared" si="18"/>
        <v>97</v>
      </c>
      <c r="G120" s="105">
        <v>1449711</v>
      </c>
      <c r="H120" s="105">
        <v>1402232</v>
      </c>
      <c r="I120" s="105"/>
      <c r="J120" s="105"/>
      <c r="K120" s="105">
        <v>128789</v>
      </c>
      <c r="L120" s="105">
        <v>128697</v>
      </c>
    </row>
    <row r="121" spans="1:12" ht="38.25" x14ac:dyDescent="0.2">
      <c r="A121" s="102">
        <v>114</v>
      </c>
      <c r="B121" s="110" t="s">
        <v>211</v>
      </c>
      <c r="C121" s="105">
        <f t="shared" si="19"/>
        <v>6864</v>
      </c>
      <c r="D121" s="105">
        <f t="shared" si="20"/>
        <v>6864</v>
      </c>
      <c r="E121" s="105">
        <f t="shared" si="21"/>
        <v>0</v>
      </c>
      <c r="F121" s="106">
        <f t="shared" si="18"/>
        <v>100</v>
      </c>
      <c r="G121" s="105">
        <v>6864</v>
      </c>
      <c r="H121" s="105">
        <v>6864</v>
      </c>
      <c r="I121" s="105"/>
      <c r="J121" s="105"/>
      <c r="K121" s="105"/>
      <c r="L121" s="105"/>
    </row>
    <row r="122" spans="1:12" ht="25.5" x14ac:dyDescent="0.2">
      <c r="A122" s="102">
        <v>115</v>
      </c>
      <c r="B122" s="113" t="s">
        <v>459</v>
      </c>
      <c r="C122" s="96">
        <f t="shared" si="19"/>
        <v>214827</v>
      </c>
      <c r="D122" s="96">
        <f t="shared" si="20"/>
        <v>214817</v>
      </c>
      <c r="E122" s="96">
        <f t="shared" si="21"/>
        <v>-10</v>
      </c>
      <c r="F122" s="104">
        <f t="shared" si="18"/>
        <v>100</v>
      </c>
      <c r="G122" s="96">
        <v>49370</v>
      </c>
      <c r="H122" s="96">
        <v>49360</v>
      </c>
      <c r="I122" s="96"/>
      <c r="J122" s="96"/>
      <c r="K122" s="96">
        <v>165457</v>
      </c>
      <c r="L122" s="96">
        <v>165457</v>
      </c>
    </row>
    <row r="123" spans="1:12" ht="25.5" x14ac:dyDescent="0.2">
      <c r="A123" s="102">
        <v>116</v>
      </c>
      <c r="B123" s="103" t="s">
        <v>460</v>
      </c>
      <c r="C123" s="96">
        <f t="shared" si="19"/>
        <v>106360</v>
      </c>
      <c r="D123" s="96">
        <f t="shared" si="20"/>
        <v>84759</v>
      </c>
      <c r="E123" s="96">
        <f t="shared" si="21"/>
        <v>-21601</v>
      </c>
      <c r="F123" s="104">
        <f t="shared" si="18"/>
        <v>79.7</v>
      </c>
      <c r="G123" s="96">
        <v>46838</v>
      </c>
      <c r="H123" s="96">
        <v>45097</v>
      </c>
      <c r="I123" s="96"/>
      <c r="J123" s="96"/>
      <c r="K123" s="96">
        <v>59522</v>
      </c>
      <c r="L123" s="96">
        <v>39662</v>
      </c>
    </row>
    <row r="124" spans="1:12" ht="12.75" x14ac:dyDescent="0.2">
      <c r="A124" s="102">
        <v>117</v>
      </c>
      <c r="B124" s="103" t="s">
        <v>10</v>
      </c>
      <c r="C124" s="96">
        <f>+C125+C131+C140</f>
        <v>67853102</v>
      </c>
      <c r="D124" s="96">
        <f>+D125+D131+D140</f>
        <v>67800772</v>
      </c>
      <c r="E124" s="96">
        <f t="shared" si="21"/>
        <v>-52330</v>
      </c>
      <c r="F124" s="104">
        <f t="shared" si="18"/>
        <v>99.9</v>
      </c>
      <c r="G124" s="96">
        <f t="shared" ref="G124:L124" si="33">+G125+G131+G140</f>
        <v>67261851</v>
      </c>
      <c r="H124" s="96">
        <f t="shared" si="33"/>
        <v>67212630</v>
      </c>
      <c r="I124" s="96">
        <f t="shared" si="33"/>
        <v>42354325</v>
      </c>
      <c r="J124" s="96">
        <f t="shared" si="33"/>
        <v>42329351</v>
      </c>
      <c r="K124" s="96">
        <f t="shared" si="33"/>
        <v>591251</v>
      </c>
      <c r="L124" s="96">
        <f t="shared" si="33"/>
        <v>588142</v>
      </c>
    </row>
    <row r="125" spans="1:12" ht="25.5" x14ac:dyDescent="0.2">
      <c r="A125" s="102">
        <v>118</v>
      </c>
      <c r="B125" s="103" t="s">
        <v>212</v>
      </c>
      <c r="C125" s="96">
        <f>SUM(C127:C130)</f>
        <v>3811362</v>
      </c>
      <c r="D125" s="96">
        <f>SUM(D127:D130)</f>
        <v>3806138</v>
      </c>
      <c r="E125" s="96">
        <f t="shared" si="21"/>
        <v>-5224</v>
      </c>
      <c r="F125" s="104">
        <f t="shared" si="18"/>
        <v>99.9</v>
      </c>
      <c r="G125" s="96">
        <f t="shared" ref="G125:L125" si="34">SUM(G127:G130)</f>
        <v>3740902</v>
      </c>
      <c r="H125" s="96">
        <f t="shared" si="34"/>
        <v>3724522</v>
      </c>
      <c r="I125" s="96">
        <f t="shared" si="34"/>
        <v>1706059</v>
      </c>
      <c r="J125" s="96">
        <f t="shared" si="34"/>
        <v>1704036</v>
      </c>
      <c r="K125" s="96">
        <f t="shared" si="34"/>
        <v>70460</v>
      </c>
      <c r="L125" s="96">
        <f t="shared" si="34"/>
        <v>81616</v>
      </c>
    </row>
    <row r="126" spans="1:12" ht="12.75" x14ac:dyDescent="0.2">
      <c r="A126" s="102">
        <v>119</v>
      </c>
      <c r="B126" s="101" t="s">
        <v>3</v>
      </c>
      <c r="C126" s="105">
        <f t="shared" si="19"/>
        <v>0</v>
      </c>
      <c r="D126" s="105">
        <f t="shared" si="20"/>
        <v>0</v>
      </c>
      <c r="E126" s="105">
        <f t="shared" si="21"/>
        <v>0</v>
      </c>
      <c r="F126" s="106"/>
      <c r="G126" s="105"/>
      <c r="H126" s="105"/>
      <c r="I126" s="105"/>
      <c r="J126" s="105"/>
      <c r="K126" s="105"/>
      <c r="L126" s="105"/>
    </row>
    <row r="127" spans="1:12" s="18" customFormat="1" ht="38.25" x14ac:dyDescent="0.2">
      <c r="A127" s="102">
        <v>120</v>
      </c>
      <c r="B127" s="107" t="s">
        <v>213</v>
      </c>
      <c r="C127" s="105">
        <f t="shared" si="19"/>
        <v>3358191</v>
      </c>
      <c r="D127" s="105">
        <f t="shared" si="20"/>
        <v>3291468</v>
      </c>
      <c r="E127" s="105">
        <f t="shared" si="21"/>
        <v>-66723</v>
      </c>
      <c r="F127" s="106">
        <f t="shared" si="18"/>
        <v>98</v>
      </c>
      <c r="G127" s="105">
        <f>3193133+145542</f>
        <v>3338675</v>
      </c>
      <c r="H127" s="105">
        <f>3126494+145542</f>
        <v>3272036</v>
      </c>
      <c r="I127" s="105">
        <v>1649544</v>
      </c>
      <c r="J127" s="105">
        <v>1648520</v>
      </c>
      <c r="K127" s="105">
        <v>19516</v>
      </c>
      <c r="L127" s="105">
        <v>19432</v>
      </c>
    </row>
    <row r="128" spans="1:12" ht="38.25" x14ac:dyDescent="0.2">
      <c r="A128" s="102">
        <v>121</v>
      </c>
      <c r="B128" s="107" t="s">
        <v>265</v>
      </c>
      <c r="C128" s="105">
        <f t="shared" si="19"/>
        <v>60903</v>
      </c>
      <c r="D128" s="105">
        <f t="shared" si="20"/>
        <v>59777</v>
      </c>
      <c r="E128" s="105">
        <f t="shared" si="21"/>
        <v>-1126</v>
      </c>
      <c r="F128" s="106">
        <f t="shared" si="18"/>
        <v>98.2</v>
      </c>
      <c r="G128" s="105">
        <v>60903</v>
      </c>
      <c r="H128" s="105">
        <v>59777</v>
      </c>
      <c r="I128" s="105">
        <v>46498</v>
      </c>
      <c r="J128" s="105">
        <v>45643</v>
      </c>
      <c r="K128" s="105"/>
      <c r="L128" s="105"/>
    </row>
    <row r="129" spans="1:12" ht="38.450000000000003" customHeight="1" x14ac:dyDescent="0.2">
      <c r="A129" s="102">
        <v>122</v>
      </c>
      <c r="B129" s="107" t="s">
        <v>342</v>
      </c>
      <c r="C129" s="105">
        <f t="shared" si="19"/>
        <v>13120</v>
      </c>
      <c r="D129" s="105">
        <f t="shared" si="20"/>
        <v>12931</v>
      </c>
      <c r="E129" s="105">
        <f t="shared" si="21"/>
        <v>-189</v>
      </c>
      <c r="F129" s="106">
        <f t="shared" si="18"/>
        <v>98.6</v>
      </c>
      <c r="G129" s="105">
        <v>13120</v>
      </c>
      <c r="H129" s="105">
        <v>12931</v>
      </c>
      <c r="I129" s="105">
        <v>10017</v>
      </c>
      <c r="J129" s="105">
        <v>9873</v>
      </c>
      <c r="K129" s="105"/>
      <c r="L129" s="105"/>
    </row>
    <row r="130" spans="1:12" ht="38.25" x14ac:dyDescent="0.2">
      <c r="A130" s="102">
        <v>123</v>
      </c>
      <c r="B130" s="107" t="s">
        <v>214</v>
      </c>
      <c r="C130" s="105">
        <f t="shared" si="19"/>
        <v>379148</v>
      </c>
      <c r="D130" s="105">
        <f t="shared" si="20"/>
        <v>441962</v>
      </c>
      <c r="E130" s="105">
        <f t="shared" si="21"/>
        <v>62814</v>
      </c>
      <c r="F130" s="106">
        <f t="shared" si="18"/>
        <v>116.6</v>
      </c>
      <c r="G130" s="105">
        <f>276492+50409+1303</f>
        <v>328204</v>
      </c>
      <c r="H130" s="105">
        <f>261727+38870+458+78723</f>
        <v>379778</v>
      </c>
      <c r="I130" s="105"/>
      <c r="J130" s="105"/>
      <c r="K130" s="105">
        <v>50944</v>
      </c>
      <c r="L130" s="105">
        <f>50020+12164</f>
        <v>62184</v>
      </c>
    </row>
    <row r="131" spans="1:12" s="18" customFormat="1" ht="12.75" x14ac:dyDescent="0.2">
      <c r="A131" s="102">
        <v>124</v>
      </c>
      <c r="B131" s="103" t="s">
        <v>215</v>
      </c>
      <c r="C131" s="96">
        <f>SUM(C133:C139)</f>
        <v>58998331</v>
      </c>
      <c r="D131" s="96">
        <f>SUM(D133:D139)</f>
        <v>59025099</v>
      </c>
      <c r="E131" s="96">
        <f t="shared" si="21"/>
        <v>26768</v>
      </c>
      <c r="F131" s="104">
        <f t="shared" si="18"/>
        <v>100</v>
      </c>
      <c r="G131" s="96">
        <f t="shared" ref="G131:L131" si="35">SUM(G133:G139)</f>
        <v>58717297</v>
      </c>
      <c r="H131" s="96">
        <f t="shared" si="35"/>
        <v>58670664</v>
      </c>
      <c r="I131" s="96">
        <f t="shared" si="35"/>
        <v>38677337</v>
      </c>
      <c r="J131" s="96">
        <f t="shared" si="35"/>
        <v>38654390</v>
      </c>
      <c r="K131" s="96">
        <f t="shared" si="35"/>
        <v>281034</v>
      </c>
      <c r="L131" s="96">
        <f t="shared" si="35"/>
        <v>354435</v>
      </c>
    </row>
    <row r="132" spans="1:12" s="9" customFormat="1" ht="12.75" x14ac:dyDescent="0.2">
      <c r="A132" s="102">
        <v>125</v>
      </c>
      <c r="B132" s="101" t="s">
        <v>3</v>
      </c>
      <c r="C132" s="96">
        <f t="shared" si="19"/>
        <v>0</v>
      </c>
      <c r="D132" s="96">
        <f t="shared" si="20"/>
        <v>0</v>
      </c>
      <c r="E132" s="96">
        <f t="shared" si="21"/>
        <v>0</v>
      </c>
      <c r="F132" s="104"/>
      <c r="G132" s="96"/>
      <c r="H132" s="96"/>
      <c r="I132" s="96"/>
      <c r="J132" s="96"/>
      <c r="K132" s="96"/>
      <c r="L132" s="96"/>
    </row>
    <row r="133" spans="1:12" ht="25.5" x14ac:dyDescent="0.2">
      <c r="A133" s="102">
        <v>126</v>
      </c>
      <c r="B133" s="109" t="s">
        <v>216</v>
      </c>
      <c r="C133" s="105">
        <f t="shared" si="19"/>
        <v>21674362</v>
      </c>
      <c r="D133" s="105">
        <f t="shared" si="20"/>
        <v>21628429</v>
      </c>
      <c r="E133" s="105">
        <f t="shared" si="21"/>
        <v>-45933</v>
      </c>
      <c r="F133" s="106">
        <f t="shared" si="18"/>
        <v>99.8</v>
      </c>
      <c r="G133" s="105">
        <f>21566700+8431</f>
        <v>21575131</v>
      </c>
      <c r="H133" s="105">
        <f>21520888+8431+1</f>
        <v>21529320</v>
      </c>
      <c r="I133" s="105">
        <v>14412094</v>
      </c>
      <c r="J133" s="105">
        <f>14402896-1</f>
        <v>14402895</v>
      </c>
      <c r="K133" s="105">
        <v>99231</v>
      </c>
      <c r="L133" s="105">
        <v>99109</v>
      </c>
    </row>
    <row r="134" spans="1:12" ht="25.5" x14ac:dyDescent="0.2">
      <c r="A134" s="102">
        <v>127</v>
      </c>
      <c r="B134" s="107" t="s">
        <v>217</v>
      </c>
      <c r="C134" s="105">
        <f t="shared" si="19"/>
        <v>30842884</v>
      </c>
      <c r="D134" s="105">
        <f t="shared" si="20"/>
        <v>30818247</v>
      </c>
      <c r="E134" s="105">
        <f t="shared" si="21"/>
        <v>-24637</v>
      </c>
      <c r="F134" s="106">
        <f t="shared" si="18"/>
        <v>99.9</v>
      </c>
      <c r="G134" s="105">
        <v>30707188</v>
      </c>
      <c r="H134" s="105">
        <f>30682589</f>
        <v>30682589</v>
      </c>
      <c r="I134" s="105">
        <v>22665763</v>
      </c>
      <c r="J134" s="105">
        <v>22649872</v>
      </c>
      <c r="K134" s="105">
        <v>135696</v>
      </c>
      <c r="L134" s="105">
        <v>135658</v>
      </c>
    </row>
    <row r="135" spans="1:12" ht="38.25" x14ac:dyDescent="0.2">
      <c r="A135" s="102">
        <v>128</v>
      </c>
      <c r="B135" s="110" t="s">
        <v>211</v>
      </c>
      <c r="C135" s="105">
        <f t="shared" si="19"/>
        <v>623432</v>
      </c>
      <c r="D135" s="105">
        <f t="shared" si="20"/>
        <v>619753</v>
      </c>
      <c r="E135" s="105">
        <f t="shared" si="21"/>
        <v>-3679</v>
      </c>
      <c r="F135" s="106">
        <f t="shared" si="18"/>
        <v>99.4</v>
      </c>
      <c r="G135" s="105">
        <v>623432</v>
      </c>
      <c r="H135" s="105">
        <f>619755-2</f>
        <v>619753</v>
      </c>
      <c r="I135" s="105">
        <v>363894</v>
      </c>
      <c r="J135" s="105">
        <v>363894</v>
      </c>
      <c r="K135" s="105"/>
      <c r="L135" s="105"/>
    </row>
    <row r="136" spans="1:12" ht="37.5" customHeight="1" x14ac:dyDescent="0.2">
      <c r="A136" s="102">
        <v>129</v>
      </c>
      <c r="B136" s="110" t="s">
        <v>218</v>
      </c>
      <c r="C136" s="105">
        <f t="shared" si="19"/>
        <v>17514</v>
      </c>
      <c r="D136" s="105">
        <f t="shared" si="20"/>
        <v>17514</v>
      </c>
      <c r="E136" s="105">
        <f t="shared" si="21"/>
        <v>0</v>
      </c>
      <c r="F136" s="106">
        <f t="shared" si="18"/>
        <v>100</v>
      </c>
      <c r="G136" s="105">
        <v>17514</v>
      </c>
      <c r="H136" s="105">
        <v>17514</v>
      </c>
      <c r="I136" s="105">
        <v>5242</v>
      </c>
      <c r="J136" s="105">
        <v>5242</v>
      </c>
      <c r="K136" s="105"/>
      <c r="L136" s="105"/>
    </row>
    <row r="137" spans="1:12" ht="38.25" x14ac:dyDescent="0.2">
      <c r="A137" s="102">
        <v>130</v>
      </c>
      <c r="B137" s="107" t="s">
        <v>343</v>
      </c>
      <c r="C137" s="105">
        <f t="shared" si="19"/>
        <v>127253</v>
      </c>
      <c r="D137" s="105">
        <f t="shared" si="20"/>
        <v>125487</v>
      </c>
      <c r="E137" s="105">
        <f t="shared" si="21"/>
        <v>-1766</v>
      </c>
      <c r="F137" s="106">
        <f t="shared" si="18"/>
        <v>98.6</v>
      </c>
      <c r="G137" s="105">
        <v>127253</v>
      </c>
      <c r="H137" s="105">
        <v>125487</v>
      </c>
      <c r="I137" s="105">
        <v>97156</v>
      </c>
      <c r="J137" s="105">
        <v>95807</v>
      </c>
      <c r="K137" s="105"/>
      <c r="L137" s="105"/>
    </row>
    <row r="138" spans="1:12" ht="25.5" x14ac:dyDescent="0.2">
      <c r="A138" s="102">
        <v>131</v>
      </c>
      <c r="B138" s="110" t="s">
        <v>344</v>
      </c>
      <c r="C138" s="105">
        <f t="shared" si="19"/>
        <v>258967</v>
      </c>
      <c r="D138" s="105">
        <f t="shared" si="20"/>
        <v>258889</v>
      </c>
      <c r="E138" s="105">
        <f t="shared" si="21"/>
        <v>-78</v>
      </c>
      <c r="F138" s="106">
        <f t="shared" si="18"/>
        <v>100</v>
      </c>
      <c r="G138" s="105">
        <v>258967</v>
      </c>
      <c r="H138" s="105">
        <v>258889</v>
      </c>
      <c r="I138" s="105">
        <v>197715</v>
      </c>
      <c r="J138" s="105">
        <v>197692</v>
      </c>
      <c r="K138" s="105"/>
      <c r="L138" s="105"/>
    </row>
    <row r="139" spans="1:12" ht="24.95" customHeight="1" x14ac:dyDescent="0.2">
      <c r="A139" s="102">
        <v>132</v>
      </c>
      <c r="B139" s="107" t="s">
        <v>219</v>
      </c>
      <c r="C139" s="105">
        <f t="shared" ref="C139:C157" si="36">+G139+K139</f>
        <v>5453919</v>
      </c>
      <c r="D139" s="105">
        <f t="shared" ref="D139:D157" si="37">+H139+L139</f>
        <v>5556780</v>
      </c>
      <c r="E139" s="105">
        <f t="shared" ref="E139:E157" si="38">+D139-C139</f>
        <v>102861</v>
      </c>
      <c r="F139" s="106">
        <f t="shared" ref="F139:F160" si="39">+D139/C139*100</f>
        <v>101.9</v>
      </c>
      <c r="G139" s="105">
        <v>5407812</v>
      </c>
      <c r="H139" s="105">
        <v>5437112</v>
      </c>
      <c r="I139" s="105">
        <v>935473</v>
      </c>
      <c r="J139" s="105">
        <v>938988</v>
      </c>
      <c r="K139" s="105">
        <v>46107</v>
      </c>
      <c r="L139" s="105">
        <v>119668</v>
      </c>
    </row>
    <row r="140" spans="1:12" ht="18.75" customHeight="1" x14ac:dyDescent="0.2">
      <c r="A140" s="102">
        <v>133</v>
      </c>
      <c r="B140" s="113" t="s">
        <v>220</v>
      </c>
      <c r="C140" s="96">
        <f>+C142+C143+C144</f>
        <v>5043409</v>
      </c>
      <c r="D140" s="96">
        <f>+D142+D143+D144</f>
        <v>4969535</v>
      </c>
      <c r="E140" s="96">
        <f t="shared" si="38"/>
        <v>-73874</v>
      </c>
      <c r="F140" s="104">
        <f t="shared" si="39"/>
        <v>98.5</v>
      </c>
      <c r="G140" s="96">
        <f t="shared" ref="G140:L140" si="40">+G142+G143+G144</f>
        <v>4803652</v>
      </c>
      <c r="H140" s="96">
        <f t="shared" si="40"/>
        <v>4817444</v>
      </c>
      <c r="I140" s="96">
        <f t="shared" si="40"/>
        <v>1970929</v>
      </c>
      <c r="J140" s="96">
        <f t="shared" si="40"/>
        <v>1970925</v>
      </c>
      <c r="K140" s="96">
        <f t="shared" si="40"/>
        <v>239757</v>
      </c>
      <c r="L140" s="96">
        <f t="shared" si="40"/>
        <v>152091</v>
      </c>
    </row>
    <row r="141" spans="1:12" ht="12.75" x14ac:dyDescent="0.2">
      <c r="A141" s="102">
        <v>134</v>
      </c>
      <c r="B141" s="101" t="s">
        <v>3</v>
      </c>
      <c r="C141" s="105">
        <f t="shared" si="36"/>
        <v>0</v>
      </c>
      <c r="D141" s="105">
        <f t="shared" si="37"/>
        <v>0</v>
      </c>
      <c r="E141" s="105">
        <f t="shared" si="38"/>
        <v>0</v>
      </c>
      <c r="F141" s="106"/>
      <c r="G141" s="105"/>
      <c r="H141" s="105"/>
      <c r="I141" s="105"/>
      <c r="J141" s="105"/>
      <c r="K141" s="105"/>
      <c r="L141" s="105"/>
    </row>
    <row r="142" spans="1:12" ht="29.1" customHeight="1" x14ac:dyDescent="0.2">
      <c r="A142" s="102">
        <v>135</v>
      </c>
      <c r="B142" s="109" t="s">
        <v>221</v>
      </c>
      <c r="C142" s="105">
        <f t="shared" si="36"/>
        <v>4739369</v>
      </c>
      <c r="D142" s="105">
        <f t="shared" si="37"/>
        <v>4645716</v>
      </c>
      <c r="E142" s="105">
        <f t="shared" si="38"/>
        <v>-93653</v>
      </c>
      <c r="F142" s="106">
        <f t="shared" si="39"/>
        <v>98</v>
      </c>
      <c r="G142" s="105">
        <v>4530140</v>
      </c>
      <c r="H142" s="105">
        <v>4524153</v>
      </c>
      <c r="I142" s="105">
        <v>1934714</v>
      </c>
      <c r="J142" s="105">
        <v>1934711</v>
      </c>
      <c r="K142" s="105">
        <v>209229</v>
      </c>
      <c r="L142" s="105">
        <v>121563</v>
      </c>
    </row>
    <row r="143" spans="1:12" s="18" customFormat="1" ht="25.5" x14ac:dyDescent="0.2">
      <c r="A143" s="102">
        <v>136</v>
      </c>
      <c r="B143" s="109" t="s">
        <v>345</v>
      </c>
      <c r="C143" s="105">
        <f t="shared" si="36"/>
        <v>22423</v>
      </c>
      <c r="D143" s="105">
        <f t="shared" si="37"/>
        <v>22416</v>
      </c>
      <c r="E143" s="105">
        <f t="shared" si="38"/>
        <v>-7</v>
      </c>
      <c r="F143" s="106">
        <f t="shared" si="39"/>
        <v>100</v>
      </c>
      <c r="G143" s="105">
        <v>22423</v>
      </c>
      <c r="H143" s="105">
        <v>22416</v>
      </c>
      <c r="I143" s="105">
        <v>17119</v>
      </c>
      <c r="J143" s="105">
        <v>17118</v>
      </c>
      <c r="K143" s="105"/>
      <c r="L143" s="105"/>
    </row>
    <row r="144" spans="1:12" s="18" customFormat="1" ht="25.5" x14ac:dyDescent="0.2">
      <c r="A144" s="102">
        <v>137</v>
      </c>
      <c r="B144" s="107" t="s">
        <v>222</v>
      </c>
      <c r="C144" s="105">
        <f t="shared" si="36"/>
        <v>281617</v>
      </c>
      <c r="D144" s="105">
        <f t="shared" si="37"/>
        <v>301403</v>
      </c>
      <c r="E144" s="105">
        <f t="shared" si="38"/>
        <v>19786</v>
      </c>
      <c r="F144" s="106">
        <f t="shared" si="39"/>
        <v>107</v>
      </c>
      <c r="G144" s="105">
        <f>131914+9119+110056</f>
        <v>251089</v>
      </c>
      <c r="H144" s="105">
        <f>130745+9086+62632+68412</f>
        <v>270875</v>
      </c>
      <c r="I144" s="105">
        <v>19096</v>
      </c>
      <c r="J144" s="105">
        <v>19096</v>
      </c>
      <c r="K144" s="105">
        <f>28211+2317</f>
        <v>30528</v>
      </c>
      <c r="L144" s="105">
        <f>28211+2317</f>
        <v>30528</v>
      </c>
    </row>
    <row r="145" spans="1:12" ht="12.75" x14ac:dyDescent="0.2">
      <c r="A145" s="102">
        <v>138</v>
      </c>
      <c r="B145" s="103" t="s">
        <v>100</v>
      </c>
      <c r="C145" s="96">
        <f>+C146+C160</f>
        <v>16202435</v>
      </c>
      <c r="D145" s="96">
        <f t="shared" ref="D145:L145" si="41">+D146+D160</f>
        <v>12683519</v>
      </c>
      <c r="E145" s="96">
        <f t="shared" si="41"/>
        <v>-3518916</v>
      </c>
      <c r="F145" s="104">
        <f t="shared" si="39"/>
        <v>78.3</v>
      </c>
      <c r="G145" s="96">
        <f t="shared" si="41"/>
        <v>16086175</v>
      </c>
      <c r="H145" s="96">
        <f t="shared" si="41"/>
        <v>12608168</v>
      </c>
      <c r="I145" s="96">
        <f t="shared" si="41"/>
        <v>3692107</v>
      </c>
      <c r="J145" s="96">
        <f t="shared" si="41"/>
        <v>3513305</v>
      </c>
      <c r="K145" s="96">
        <f t="shared" si="41"/>
        <v>116260</v>
      </c>
      <c r="L145" s="96">
        <f t="shared" si="41"/>
        <v>75351</v>
      </c>
    </row>
    <row r="146" spans="1:12" ht="12.75" x14ac:dyDescent="0.2">
      <c r="A146" s="102">
        <v>139</v>
      </c>
      <c r="B146" s="103" t="s">
        <v>223</v>
      </c>
      <c r="C146" s="96">
        <f>+C148+C149+C155+C156+C157+C158+C159</f>
        <v>14736631</v>
      </c>
      <c r="D146" s="96">
        <f>+D148+D149+D155+D156+D157+D158+D159</f>
        <v>11219076</v>
      </c>
      <c r="E146" s="96">
        <f t="shared" si="38"/>
        <v>-3517555</v>
      </c>
      <c r="F146" s="104">
        <f t="shared" si="39"/>
        <v>76.099999999999994</v>
      </c>
      <c r="G146" s="96">
        <f t="shared" ref="G146:L146" si="42">+G148+G149+G155+G156+G157+G158+G159</f>
        <v>14640268</v>
      </c>
      <c r="H146" s="96">
        <f t="shared" si="42"/>
        <v>11163622</v>
      </c>
      <c r="I146" s="96">
        <f t="shared" si="42"/>
        <v>2883883</v>
      </c>
      <c r="J146" s="96">
        <f t="shared" si="42"/>
        <v>2714334</v>
      </c>
      <c r="K146" s="96">
        <f t="shared" si="42"/>
        <v>96363</v>
      </c>
      <c r="L146" s="96">
        <f t="shared" si="42"/>
        <v>55454</v>
      </c>
    </row>
    <row r="147" spans="1:12" ht="12.75" x14ac:dyDescent="0.2">
      <c r="A147" s="102">
        <v>140</v>
      </c>
      <c r="B147" s="101" t="s">
        <v>3</v>
      </c>
      <c r="C147" s="105">
        <f t="shared" si="36"/>
        <v>0</v>
      </c>
      <c r="D147" s="105">
        <f t="shared" si="37"/>
        <v>0</v>
      </c>
      <c r="E147" s="105">
        <f t="shared" si="38"/>
        <v>0</v>
      </c>
      <c r="F147" s="106"/>
      <c r="G147" s="105"/>
      <c r="H147" s="105"/>
      <c r="I147" s="105"/>
      <c r="J147" s="105"/>
      <c r="K147" s="105"/>
      <c r="L147" s="105"/>
    </row>
    <row r="148" spans="1:12" ht="25.5" x14ac:dyDescent="0.2">
      <c r="A148" s="102">
        <v>141</v>
      </c>
      <c r="B148" s="109" t="s">
        <v>205</v>
      </c>
      <c r="C148" s="105">
        <f t="shared" si="36"/>
        <v>9444506</v>
      </c>
      <c r="D148" s="105">
        <f t="shared" si="37"/>
        <v>6650180</v>
      </c>
      <c r="E148" s="105">
        <f t="shared" si="38"/>
        <v>-2794326</v>
      </c>
      <c r="F148" s="106">
        <f t="shared" si="39"/>
        <v>70.400000000000006</v>
      </c>
      <c r="G148" s="105">
        <f>9436635+5263</f>
        <v>9441898</v>
      </c>
      <c r="H148" s="105">
        <f>6642311+5261</f>
        <v>6647572</v>
      </c>
      <c r="I148" s="105">
        <v>1738787</v>
      </c>
      <c r="J148" s="105">
        <v>1694149</v>
      </c>
      <c r="K148" s="105">
        <v>2608</v>
      </c>
      <c r="L148" s="105">
        <v>2608</v>
      </c>
    </row>
    <row r="149" spans="1:12" ht="36" customHeight="1" x14ac:dyDescent="0.2">
      <c r="A149" s="102">
        <v>142</v>
      </c>
      <c r="B149" s="110" t="s">
        <v>224</v>
      </c>
      <c r="C149" s="105">
        <f>+C151+C152+C153+C154</f>
        <v>3429178</v>
      </c>
      <c r="D149" s="105">
        <f>+D151+D152+D153+D154</f>
        <v>2854260</v>
      </c>
      <c r="E149" s="105">
        <f t="shared" si="38"/>
        <v>-574918</v>
      </c>
      <c r="F149" s="106">
        <f t="shared" si="39"/>
        <v>83.2</v>
      </c>
      <c r="G149" s="105">
        <f t="shared" ref="G149:L149" si="43">+G151+G152+G153+G154</f>
        <v>3429178</v>
      </c>
      <c r="H149" s="105">
        <f t="shared" si="43"/>
        <v>2854260</v>
      </c>
      <c r="I149" s="105">
        <f t="shared" si="43"/>
        <v>738794</v>
      </c>
      <c r="J149" s="105">
        <f t="shared" si="43"/>
        <v>639958</v>
      </c>
      <c r="K149" s="105">
        <f t="shared" si="43"/>
        <v>0</v>
      </c>
      <c r="L149" s="105">
        <f t="shared" si="43"/>
        <v>0</v>
      </c>
    </row>
    <row r="150" spans="1:12" ht="15.95" customHeight="1" x14ac:dyDescent="0.2">
      <c r="A150" s="102">
        <v>143</v>
      </c>
      <c r="B150" s="101" t="s">
        <v>3</v>
      </c>
      <c r="C150" s="96">
        <f t="shared" si="36"/>
        <v>0</v>
      </c>
      <c r="D150" s="105">
        <f t="shared" si="37"/>
        <v>0</v>
      </c>
      <c r="E150" s="105">
        <f t="shared" si="38"/>
        <v>0</v>
      </c>
      <c r="F150" s="106"/>
      <c r="G150" s="105">
        <v>0</v>
      </c>
      <c r="H150" s="105"/>
      <c r="I150" s="105">
        <v>0</v>
      </c>
      <c r="J150" s="105"/>
      <c r="K150" s="105">
        <v>0</v>
      </c>
      <c r="L150" s="105"/>
    </row>
    <row r="151" spans="1:12" ht="15" customHeight="1" x14ac:dyDescent="0.2">
      <c r="A151" s="102">
        <v>144</v>
      </c>
      <c r="B151" s="107" t="s">
        <v>142</v>
      </c>
      <c r="C151" s="105">
        <f t="shared" si="36"/>
        <v>1928093</v>
      </c>
      <c r="D151" s="105">
        <f t="shared" si="37"/>
        <v>1725906</v>
      </c>
      <c r="E151" s="105">
        <f t="shared" si="38"/>
        <v>-202187</v>
      </c>
      <c r="F151" s="106">
        <f t="shared" si="39"/>
        <v>89.5</v>
      </c>
      <c r="G151" s="105">
        <v>1928093</v>
      </c>
      <c r="H151" s="105">
        <v>1725906</v>
      </c>
      <c r="I151" s="105">
        <v>738794</v>
      </c>
      <c r="J151" s="105">
        <v>639958</v>
      </c>
      <c r="K151" s="105"/>
      <c r="L151" s="105"/>
    </row>
    <row r="152" spans="1:12" ht="17.100000000000001" customHeight="1" x14ac:dyDescent="0.2">
      <c r="A152" s="102">
        <v>145</v>
      </c>
      <c r="B152" s="107" t="s">
        <v>225</v>
      </c>
      <c r="C152" s="105">
        <f t="shared" si="36"/>
        <v>651895</v>
      </c>
      <c r="D152" s="105">
        <f t="shared" si="37"/>
        <v>624949</v>
      </c>
      <c r="E152" s="105">
        <f t="shared" si="38"/>
        <v>-26946</v>
      </c>
      <c r="F152" s="106">
        <f t="shared" si="39"/>
        <v>95.9</v>
      </c>
      <c r="G152" s="105">
        <v>651895</v>
      </c>
      <c r="H152" s="105">
        <v>624949</v>
      </c>
      <c r="I152" s="105"/>
      <c r="J152" s="105"/>
      <c r="K152" s="105"/>
      <c r="L152" s="105"/>
    </row>
    <row r="153" spans="1:12" ht="12.75" x14ac:dyDescent="0.2">
      <c r="A153" s="102">
        <v>146</v>
      </c>
      <c r="B153" s="107" t="s">
        <v>144</v>
      </c>
      <c r="C153" s="105">
        <f t="shared" si="36"/>
        <v>523357</v>
      </c>
      <c r="D153" s="105">
        <f t="shared" si="37"/>
        <v>503405</v>
      </c>
      <c r="E153" s="105">
        <f t="shared" si="38"/>
        <v>-19952</v>
      </c>
      <c r="F153" s="106">
        <f t="shared" si="39"/>
        <v>96.2</v>
      </c>
      <c r="G153" s="105">
        <v>523357</v>
      </c>
      <c r="H153" s="105">
        <v>503405</v>
      </c>
      <c r="I153" s="105"/>
      <c r="J153" s="105"/>
      <c r="K153" s="105"/>
      <c r="L153" s="105"/>
    </row>
    <row r="154" spans="1:12" ht="25.5" x14ac:dyDescent="0.2">
      <c r="A154" s="102">
        <v>147</v>
      </c>
      <c r="B154" s="110" t="s">
        <v>306</v>
      </c>
      <c r="C154" s="105">
        <f t="shared" si="36"/>
        <v>325833</v>
      </c>
      <c r="D154" s="105">
        <f t="shared" si="37"/>
        <v>0</v>
      </c>
      <c r="E154" s="105">
        <f t="shared" si="38"/>
        <v>-325833</v>
      </c>
      <c r="F154" s="106">
        <f t="shared" si="39"/>
        <v>0</v>
      </c>
      <c r="G154" s="105">
        <v>325833</v>
      </c>
      <c r="H154" s="105"/>
      <c r="I154" s="105"/>
      <c r="J154" s="105"/>
      <c r="K154" s="105"/>
      <c r="L154" s="105"/>
    </row>
    <row r="155" spans="1:12" s="9" customFormat="1" ht="38.25" x14ac:dyDescent="0.2">
      <c r="A155" s="102">
        <v>148</v>
      </c>
      <c r="B155" s="110" t="s">
        <v>226</v>
      </c>
      <c r="C155" s="105">
        <f t="shared" si="36"/>
        <v>456353</v>
      </c>
      <c r="D155" s="105">
        <f t="shared" si="37"/>
        <v>446366</v>
      </c>
      <c r="E155" s="105">
        <f t="shared" si="38"/>
        <v>-9987</v>
      </c>
      <c r="F155" s="106">
        <f t="shared" si="39"/>
        <v>97.8</v>
      </c>
      <c r="G155" s="105">
        <v>456353</v>
      </c>
      <c r="H155" s="105">
        <f>446366</f>
        <v>446366</v>
      </c>
      <c r="I155" s="105">
        <v>293646</v>
      </c>
      <c r="J155" s="105">
        <v>287192</v>
      </c>
      <c r="K155" s="105"/>
      <c r="L155" s="105"/>
    </row>
    <row r="156" spans="1:12" ht="54" customHeight="1" x14ac:dyDescent="0.2">
      <c r="A156" s="102">
        <v>149</v>
      </c>
      <c r="B156" s="110" t="s">
        <v>346</v>
      </c>
      <c r="C156" s="105">
        <f>+G156+K156</f>
        <v>14128</v>
      </c>
      <c r="D156" s="105">
        <f>+H156+L156</f>
        <v>14128</v>
      </c>
      <c r="E156" s="105">
        <f>+D156-C156</f>
        <v>0</v>
      </c>
      <c r="F156" s="106">
        <f t="shared" si="39"/>
        <v>100</v>
      </c>
      <c r="G156" s="105">
        <v>14128</v>
      </c>
      <c r="H156" s="105">
        <v>14128</v>
      </c>
      <c r="I156" s="105"/>
      <c r="J156" s="105"/>
      <c r="K156" s="105"/>
      <c r="L156" s="105"/>
    </row>
    <row r="157" spans="1:12" ht="33.950000000000003" customHeight="1" x14ac:dyDescent="0.2">
      <c r="A157" s="102">
        <v>150</v>
      </c>
      <c r="B157" s="110" t="s">
        <v>347</v>
      </c>
      <c r="C157" s="105">
        <f t="shared" si="36"/>
        <v>8375</v>
      </c>
      <c r="D157" s="105">
        <f t="shared" si="37"/>
        <v>8367</v>
      </c>
      <c r="E157" s="105">
        <f t="shared" si="38"/>
        <v>-8</v>
      </c>
      <c r="F157" s="106">
        <f t="shared" si="39"/>
        <v>99.9</v>
      </c>
      <c r="G157" s="105">
        <v>8375</v>
      </c>
      <c r="H157" s="105">
        <v>8367</v>
      </c>
      <c r="I157" s="105">
        <v>6394</v>
      </c>
      <c r="J157" s="105">
        <v>6388</v>
      </c>
      <c r="K157" s="105">
        <v>0</v>
      </c>
      <c r="L157" s="105"/>
    </row>
    <row r="158" spans="1:12" ht="34.5" customHeight="1" x14ac:dyDescent="0.2">
      <c r="A158" s="102">
        <v>151</v>
      </c>
      <c r="B158" s="107" t="s">
        <v>227</v>
      </c>
      <c r="C158" s="105">
        <f>+G158+K158</f>
        <v>544193</v>
      </c>
      <c r="D158" s="105">
        <f>+H158+L158</f>
        <v>521431</v>
      </c>
      <c r="E158" s="105">
        <f>+D158-C158</f>
        <v>-22762</v>
      </c>
      <c r="F158" s="106">
        <f t="shared" si="39"/>
        <v>95.8</v>
      </c>
      <c r="G158" s="105">
        <f>115605+392757</f>
        <v>508362</v>
      </c>
      <c r="H158" s="105">
        <f>111060+321751+51542</f>
        <v>484353</v>
      </c>
      <c r="I158" s="105">
        <f>26182+80080</f>
        <v>106262</v>
      </c>
      <c r="J158" s="105">
        <f>26182+60465</f>
        <v>86647</v>
      </c>
      <c r="K158" s="105">
        <f>2925+32906</f>
        <v>35831</v>
      </c>
      <c r="L158" s="105">
        <f>2788+32906+1384</f>
        <v>37078</v>
      </c>
    </row>
    <row r="159" spans="1:12" ht="38.25" x14ac:dyDescent="0.2">
      <c r="A159" s="102">
        <v>152</v>
      </c>
      <c r="B159" s="107" t="s">
        <v>228</v>
      </c>
      <c r="C159" s="105">
        <f>+G159+K159</f>
        <v>839898</v>
      </c>
      <c r="D159" s="105">
        <f>+H159+L159</f>
        <v>724344</v>
      </c>
      <c r="E159" s="105">
        <f>+D159-C159</f>
        <v>-115554</v>
      </c>
      <c r="F159" s="106">
        <f t="shared" si="39"/>
        <v>86.2</v>
      </c>
      <c r="G159" s="105">
        <v>781974</v>
      </c>
      <c r="H159" s="105">
        <f>438611+269965</f>
        <v>708576</v>
      </c>
      <c r="I159" s="105"/>
      <c r="J159" s="105"/>
      <c r="K159" s="105">
        <v>57924</v>
      </c>
      <c r="L159" s="105">
        <v>15768</v>
      </c>
    </row>
    <row r="160" spans="1:12" ht="12.75" x14ac:dyDescent="0.2">
      <c r="A160" s="102">
        <v>153</v>
      </c>
      <c r="B160" s="103" t="s">
        <v>229</v>
      </c>
      <c r="C160" s="96">
        <f>+C162+C163+C164+C165+C166+C167</f>
        <v>1465804</v>
      </c>
      <c r="D160" s="96">
        <f t="shared" ref="D160:L160" si="44">+D162+D163+D164+D165+D166+D167</f>
        <v>1464443</v>
      </c>
      <c r="E160" s="96">
        <f t="shared" si="44"/>
        <v>-1361</v>
      </c>
      <c r="F160" s="104">
        <f t="shared" si="39"/>
        <v>99.9</v>
      </c>
      <c r="G160" s="96">
        <f t="shared" si="44"/>
        <v>1445907</v>
      </c>
      <c r="H160" s="96">
        <f t="shared" si="44"/>
        <v>1444546</v>
      </c>
      <c r="I160" s="96">
        <f t="shared" si="44"/>
        <v>808224</v>
      </c>
      <c r="J160" s="96">
        <f t="shared" si="44"/>
        <v>798971</v>
      </c>
      <c r="K160" s="96">
        <f t="shared" si="44"/>
        <v>19897</v>
      </c>
      <c r="L160" s="96">
        <f t="shared" si="44"/>
        <v>19897</v>
      </c>
    </row>
    <row r="161" spans="1:12" ht="12.75" x14ac:dyDescent="0.2">
      <c r="A161" s="102">
        <v>154</v>
      </c>
      <c r="B161" s="101" t="s">
        <v>3</v>
      </c>
      <c r="C161" s="105"/>
      <c r="D161" s="105"/>
      <c r="E161" s="105"/>
      <c r="F161" s="116"/>
      <c r="G161" s="105"/>
      <c r="H161" s="105"/>
      <c r="I161" s="105"/>
      <c r="J161" s="105"/>
      <c r="K161" s="105"/>
      <c r="L161" s="105"/>
    </row>
    <row r="162" spans="1:12" ht="25.5" x14ac:dyDescent="0.2">
      <c r="A162" s="102">
        <v>155</v>
      </c>
      <c r="B162" s="110" t="s">
        <v>348</v>
      </c>
      <c r="C162" s="105">
        <f t="shared" ref="C162:D166" si="45">+G162+K162</f>
        <v>10471</v>
      </c>
      <c r="D162" s="105">
        <f t="shared" si="45"/>
        <v>2767</v>
      </c>
      <c r="E162" s="105">
        <f>+D162-C162</f>
        <v>-7704</v>
      </c>
      <c r="F162" s="106">
        <f t="shared" ref="F162:F167" si="46">+D162/C162*100</f>
        <v>26.4</v>
      </c>
      <c r="G162" s="105">
        <f>21129-10658</f>
        <v>10471</v>
      </c>
      <c r="H162" s="105">
        <f>13425-10658</f>
        <v>2767</v>
      </c>
      <c r="I162" s="105">
        <v>882</v>
      </c>
      <c r="J162" s="105"/>
      <c r="K162" s="105"/>
      <c r="L162" s="105"/>
    </row>
    <row r="163" spans="1:12" ht="25.5" x14ac:dyDescent="0.2">
      <c r="A163" s="102">
        <v>156</v>
      </c>
      <c r="B163" s="110" t="s">
        <v>349</v>
      </c>
      <c r="C163" s="105">
        <f t="shared" si="45"/>
        <v>24735</v>
      </c>
      <c r="D163" s="105">
        <f t="shared" si="45"/>
        <v>1169</v>
      </c>
      <c r="E163" s="105">
        <f>+D163-C163</f>
        <v>-23566</v>
      </c>
      <c r="F163" s="106">
        <f t="shared" si="46"/>
        <v>4.7</v>
      </c>
      <c r="G163" s="105">
        <v>24735</v>
      </c>
      <c r="H163" s="105">
        <v>1169</v>
      </c>
      <c r="I163" s="105">
        <v>8949</v>
      </c>
      <c r="J163" s="105">
        <v>578</v>
      </c>
      <c r="K163" s="105"/>
      <c r="L163" s="105"/>
    </row>
    <row r="164" spans="1:12" ht="12.75" x14ac:dyDescent="0.2">
      <c r="A164" s="102">
        <v>157</v>
      </c>
      <c r="B164" s="107" t="s">
        <v>232</v>
      </c>
      <c r="C164" s="105">
        <f t="shared" si="45"/>
        <v>96154</v>
      </c>
      <c r="D164" s="105">
        <f t="shared" si="45"/>
        <v>126195</v>
      </c>
      <c r="E164" s="105">
        <f>+D164-C164</f>
        <v>30041</v>
      </c>
      <c r="F164" s="106">
        <f t="shared" si="46"/>
        <v>131.19999999999999</v>
      </c>
      <c r="G164" s="105">
        <v>96154</v>
      </c>
      <c r="H164" s="105">
        <f>34470+91725</f>
        <v>126195</v>
      </c>
      <c r="I164" s="105"/>
      <c r="J164" s="105"/>
      <c r="K164" s="105"/>
      <c r="L164" s="105"/>
    </row>
    <row r="165" spans="1:12" ht="25.5" x14ac:dyDescent="0.2">
      <c r="A165" s="102">
        <v>158</v>
      </c>
      <c r="B165" s="109" t="s">
        <v>233</v>
      </c>
      <c r="C165" s="105">
        <f t="shared" si="45"/>
        <v>10658</v>
      </c>
      <c r="D165" s="105">
        <f t="shared" si="45"/>
        <v>10658</v>
      </c>
      <c r="E165" s="105">
        <f>+D165-C165</f>
        <v>0</v>
      </c>
      <c r="F165" s="106">
        <f t="shared" si="46"/>
        <v>100</v>
      </c>
      <c r="G165" s="105">
        <v>10658</v>
      </c>
      <c r="H165" s="105">
        <v>10658</v>
      </c>
      <c r="I165" s="105"/>
      <c r="J165" s="105"/>
      <c r="K165" s="105"/>
      <c r="L165" s="105"/>
    </row>
    <row r="166" spans="1:12" ht="27" customHeight="1" x14ac:dyDescent="0.2">
      <c r="A166" s="102">
        <v>159</v>
      </c>
      <c r="B166" s="110" t="s">
        <v>230</v>
      </c>
      <c r="C166" s="105">
        <f t="shared" si="45"/>
        <v>882931</v>
      </c>
      <c r="D166" s="105">
        <f t="shared" si="45"/>
        <v>882846</v>
      </c>
      <c r="E166" s="105">
        <f>+D166-C166</f>
        <v>-85</v>
      </c>
      <c r="F166" s="106">
        <f t="shared" si="46"/>
        <v>100</v>
      </c>
      <c r="G166" s="105">
        <v>863034</v>
      </c>
      <c r="H166" s="105">
        <v>862949</v>
      </c>
      <c r="I166" s="105">
        <v>544937</v>
      </c>
      <c r="J166" s="105">
        <v>544937</v>
      </c>
      <c r="K166" s="105">
        <v>19897</v>
      </c>
      <c r="L166" s="105">
        <v>19897</v>
      </c>
    </row>
    <row r="167" spans="1:12" ht="38.25" x14ac:dyDescent="0.2">
      <c r="A167" s="102">
        <v>160</v>
      </c>
      <c r="B167" s="110" t="s">
        <v>231</v>
      </c>
      <c r="C167" s="105">
        <f>+C169+C170</f>
        <v>440855</v>
      </c>
      <c r="D167" s="105">
        <f t="shared" ref="D167:L167" si="47">+D169+D170</f>
        <v>440808</v>
      </c>
      <c r="E167" s="105">
        <f t="shared" si="47"/>
        <v>-47</v>
      </c>
      <c r="F167" s="106">
        <f t="shared" si="46"/>
        <v>100</v>
      </c>
      <c r="G167" s="105">
        <f t="shared" si="47"/>
        <v>440855</v>
      </c>
      <c r="H167" s="105">
        <f t="shared" si="47"/>
        <v>440808</v>
      </c>
      <c r="I167" s="105">
        <f t="shared" si="47"/>
        <v>253456</v>
      </c>
      <c r="J167" s="105">
        <f t="shared" si="47"/>
        <v>253456</v>
      </c>
      <c r="K167" s="105">
        <f t="shared" si="47"/>
        <v>0</v>
      </c>
      <c r="L167" s="105">
        <f t="shared" si="47"/>
        <v>0</v>
      </c>
    </row>
    <row r="168" spans="1:12" ht="12.75" x14ac:dyDescent="0.2">
      <c r="A168" s="102">
        <v>161</v>
      </c>
      <c r="B168" s="101" t="s">
        <v>3</v>
      </c>
      <c r="C168" s="105"/>
      <c r="D168" s="105"/>
      <c r="E168" s="105"/>
      <c r="F168" s="116"/>
      <c r="G168" s="105"/>
      <c r="H168" s="105"/>
      <c r="I168" s="105"/>
      <c r="J168" s="105"/>
      <c r="K168" s="105"/>
      <c r="L168" s="105"/>
    </row>
    <row r="169" spans="1:12" ht="13.5" customHeight="1" x14ac:dyDescent="0.2">
      <c r="A169" s="102">
        <v>162</v>
      </c>
      <c r="B169" s="110" t="s">
        <v>145</v>
      </c>
      <c r="C169" s="105">
        <f>+G169+K169</f>
        <v>255469</v>
      </c>
      <c r="D169" s="105">
        <f>+H169+L169</f>
        <v>255446</v>
      </c>
      <c r="E169" s="105">
        <f>+D169-C169</f>
        <v>-23</v>
      </c>
      <c r="F169" s="106">
        <f>+D169/C169*100</f>
        <v>100</v>
      </c>
      <c r="G169" s="105">
        <v>255469</v>
      </c>
      <c r="H169" s="105">
        <v>255446</v>
      </c>
      <c r="I169" s="105">
        <v>156035</v>
      </c>
      <c r="J169" s="105">
        <v>156035</v>
      </c>
      <c r="K169" s="105"/>
      <c r="L169" s="105"/>
    </row>
    <row r="170" spans="1:12" ht="18" customHeight="1" x14ac:dyDescent="0.2">
      <c r="A170" s="102">
        <v>163</v>
      </c>
      <c r="B170" s="110" t="s">
        <v>146</v>
      </c>
      <c r="C170" s="105">
        <f>+G170+K170</f>
        <v>185386</v>
      </c>
      <c r="D170" s="105">
        <f>+H170+L170</f>
        <v>185362</v>
      </c>
      <c r="E170" s="105">
        <f>+D170-C170</f>
        <v>-24</v>
      </c>
      <c r="F170" s="106">
        <f>+D170/C170*100</f>
        <v>100</v>
      </c>
      <c r="G170" s="105">
        <v>185386</v>
      </c>
      <c r="H170" s="105">
        <v>185362</v>
      </c>
      <c r="I170" s="105">
        <v>97421</v>
      </c>
      <c r="J170" s="105">
        <v>97421</v>
      </c>
      <c r="K170" s="105"/>
      <c r="L170" s="105"/>
    </row>
    <row r="171" spans="1:12" ht="12.75" x14ac:dyDescent="0.2">
      <c r="A171" s="102">
        <v>164</v>
      </c>
      <c r="B171" s="103" t="s">
        <v>234</v>
      </c>
      <c r="C171" s="96">
        <f>+C8+C10+C55+C100+C102+C124+C145</f>
        <v>135707790</v>
      </c>
      <c r="D171" s="96">
        <f t="shared" ref="D171:L171" si="48">+D8+D10+D55+D100+D102+D124+D145</f>
        <v>130109702</v>
      </c>
      <c r="E171" s="96">
        <f t="shared" si="48"/>
        <v>-5598088</v>
      </c>
      <c r="F171" s="104">
        <f>+D171/C171*100</f>
        <v>95.9</v>
      </c>
      <c r="G171" s="96">
        <f t="shared" si="48"/>
        <v>117889325</v>
      </c>
      <c r="H171" s="96">
        <f t="shared" si="48"/>
        <v>112909414</v>
      </c>
      <c r="I171" s="96">
        <f t="shared" si="48"/>
        <v>50639133</v>
      </c>
      <c r="J171" s="96">
        <f t="shared" si="48"/>
        <v>50405865</v>
      </c>
      <c r="K171" s="96">
        <f t="shared" si="48"/>
        <v>17818465</v>
      </c>
      <c r="L171" s="96">
        <f t="shared" si="48"/>
        <v>17200288</v>
      </c>
    </row>
    <row r="172" spans="1:12" ht="12.75" x14ac:dyDescent="0.2">
      <c r="A172" s="102">
        <v>165</v>
      </c>
      <c r="B172" s="101" t="s">
        <v>3</v>
      </c>
      <c r="C172" s="105"/>
      <c r="D172" s="105"/>
      <c r="E172" s="105"/>
      <c r="F172" s="116"/>
      <c r="G172" s="105"/>
      <c r="H172" s="105"/>
      <c r="I172" s="105"/>
      <c r="J172" s="105"/>
      <c r="K172" s="105"/>
      <c r="L172" s="105"/>
    </row>
    <row r="173" spans="1:12" ht="24.95" customHeight="1" x14ac:dyDescent="0.2">
      <c r="A173" s="102">
        <v>166</v>
      </c>
      <c r="B173" s="107" t="s">
        <v>271</v>
      </c>
      <c r="C173" s="105">
        <f>+C19+C40+C45+C46+C54+C60+C66+C83+C94+C99+C106+C111+C115+C128+C129+C134+C135+C136+C137+C138+C143+C149+C155+C156+C157+C166+C167+C121+C47</f>
        <v>43326536</v>
      </c>
      <c r="D173" s="105">
        <f t="shared" ref="D173:L173" si="49">+D19+D40+D45+D46+D54+D60+D66+D83+D94+D99+D106+D111+D115+D128+D129+D134+D135+D136+D137+D138+D143+D149+D155+D156+D157+D166+D167+D121+D47</f>
        <v>42532129</v>
      </c>
      <c r="E173" s="105">
        <f t="shared" si="49"/>
        <v>-794407</v>
      </c>
      <c r="F173" s="106">
        <f>+D173/C173*100</f>
        <v>98.2</v>
      </c>
      <c r="G173" s="105">
        <f t="shared" si="49"/>
        <v>40343964</v>
      </c>
      <c r="H173" s="105">
        <f t="shared" si="49"/>
        <v>39620474</v>
      </c>
      <c r="I173" s="105">
        <f t="shared" si="49"/>
        <v>25707161</v>
      </c>
      <c r="J173" s="105">
        <f t="shared" si="49"/>
        <v>25569894</v>
      </c>
      <c r="K173" s="105">
        <f t="shared" si="49"/>
        <v>2982572</v>
      </c>
      <c r="L173" s="105">
        <f t="shared" si="49"/>
        <v>2911655</v>
      </c>
    </row>
    <row r="174" spans="1:12" ht="12.75" x14ac:dyDescent="0.2">
      <c r="A174" s="117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</row>
    <row r="175" spans="1:12" s="94" customFormat="1" x14ac:dyDescent="0.2">
      <c r="A175" s="93"/>
      <c r="C175" s="25"/>
      <c r="D175" s="25"/>
      <c r="E175" s="25"/>
      <c r="F175" s="25"/>
      <c r="G175" s="25"/>
      <c r="H175" s="25"/>
      <c r="I175" s="25"/>
    </row>
    <row r="178" spans="2:2" x14ac:dyDescent="0.2">
      <c r="B178" s="95"/>
    </row>
  </sheetData>
  <autoFilter ref="B1:B173"/>
  <mergeCells count="14">
    <mergeCell ref="B3:B6"/>
    <mergeCell ref="A3:A6"/>
    <mergeCell ref="C3:C6"/>
    <mergeCell ref="G5:G6"/>
    <mergeCell ref="D3:D6"/>
    <mergeCell ref="E3:E6"/>
    <mergeCell ref="F3:F6"/>
    <mergeCell ref="G3:L3"/>
    <mergeCell ref="G4:J4"/>
    <mergeCell ref="L5:L6"/>
    <mergeCell ref="K4:L4"/>
    <mergeCell ref="H5:H6"/>
    <mergeCell ref="I5:J5"/>
    <mergeCell ref="K5:K6"/>
  </mergeCells>
  <pageMargins left="0.98425196850393704" right="0.23622047244094491" top="0.94488188976377963" bottom="0.39370078740157483" header="0.31496062992125984" footer="0.31496062992125984"/>
  <pageSetup paperSize="9" scale="9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showZeros="0" topLeftCell="A25" zoomScale="90" zoomScaleNormal="90" workbookViewId="0">
      <selection activeCell="F68" sqref="F68"/>
    </sheetView>
  </sheetViews>
  <sheetFormatPr defaultColWidth="10.140625" defaultRowHeight="12.75" x14ac:dyDescent="0.2"/>
  <cols>
    <col min="1" max="1" width="5.28515625" style="2" customWidth="1"/>
    <col min="2" max="2" width="23" style="2" customWidth="1"/>
    <col min="3" max="3" width="18" style="2" customWidth="1"/>
    <col min="4" max="4" width="12.42578125" style="2" customWidth="1"/>
    <col min="5" max="5" width="12.140625" style="2" customWidth="1"/>
    <col min="6" max="6" width="11.85546875" style="2" customWidth="1"/>
    <col min="7" max="7" width="10" style="2" customWidth="1"/>
    <col min="8" max="8" width="13.28515625" style="2" customWidth="1"/>
    <col min="9" max="9" width="12.140625" style="2" customWidth="1"/>
    <col min="10" max="10" width="11.140625" style="2" customWidth="1"/>
    <col min="11" max="12" width="11.28515625" style="2" customWidth="1"/>
    <col min="13" max="13" width="11.28515625" style="2" bestFit="1" customWidth="1"/>
    <col min="14" max="207" width="10.140625" style="2"/>
    <col min="208" max="208" width="5.28515625" style="2" customWidth="1"/>
    <col min="209" max="209" width="23" style="2" customWidth="1"/>
    <col min="210" max="210" width="18" style="2" customWidth="1"/>
    <col min="211" max="211" width="12" style="2" customWidth="1"/>
    <col min="212" max="212" width="11" style="2" customWidth="1"/>
    <col min="213" max="213" width="10.85546875" style="2" customWidth="1"/>
    <col min="214" max="214" width="9.42578125" style="2" customWidth="1"/>
    <col min="215" max="463" width="10.140625" style="2"/>
    <col min="464" max="464" width="5.28515625" style="2" customWidth="1"/>
    <col min="465" max="465" width="23" style="2" customWidth="1"/>
    <col min="466" max="466" width="18" style="2" customWidth="1"/>
    <col min="467" max="467" width="12" style="2" customWidth="1"/>
    <col min="468" max="468" width="11" style="2" customWidth="1"/>
    <col min="469" max="469" width="10.85546875" style="2" customWidth="1"/>
    <col min="470" max="470" width="9.42578125" style="2" customWidth="1"/>
    <col min="471" max="719" width="10.140625" style="2"/>
    <col min="720" max="720" width="5.28515625" style="2" customWidth="1"/>
    <col min="721" max="721" width="23" style="2" customWidth="1"/>
    <col min="722" max="722" width="18" style="2" customWidth="1"/>
    <col min="723" max="723" width="12" style="2" customWidth="1"/>
    <col min="724" max="724" width="11" style="2" customWidth="1"/>
    <col min="725" max="725" width="10.85546875" style="2" customWidth="1"/>
    <col min="726" max="726" width="9.42578125" style="2" customWidth="1"/>
    <col min="727" max="975" width="10.140625" style="2"/>
    <col min="976" max="976" width="5.28515625" style="2" customWidth="1"/>
    <col min="977" max="977" width="23" style="2" customWidth="1"/>
    <col min="978" max="978" width="18" style="2" customWidth="1"/>
    <col min="979" max="979" width="12" style="2" customWidth="1"/>
    <col min="980" max="980" width="11" style="2" customWidth="1"/>
    <col min="981" max="981" width="10.85546875" style="2" customWidth="1"/>
    <col min="982" max="982" width="9.42578125" style="2" customWidth="1"/>
    <col min="983" max="1231" width="10.140625" style="2"/>
    <col min="1232" max="1232" width="5.28515625" style="2" customWidth="1"/>
    <col min="1233" max="1233" width="23" style="2" customWidth="1"/>
    <col min="1234" max="1234" width="18" style="2" customWidth="1"/>
    <col min="1235" max="1235" width="12" style="2" customWidth="1"/>
    <col min="1236" max="1236" width="11" style="2" customWidth="1"/>
    <col min="1237" max="1237" width="10.85546875" style="2" customWidth="1"/>
    <col min="1238" max="1238" width="9.42578125" style="2" customWidth="1"/>
    <col min="1239" max="1487" width="10.140625" style="2"/>
    <col min="1488" max="1488" width="5.28515625" style="2" customWidth="1"/>
    <col min="1489" max="1489" width="23" style="2" customWidth="1"/>
    <col min="1490" max="1490" width="18" style="2" customWidth="1"/>
    <col min="1491" max="1491" width="12" style="2" customWidth="1"/>
    <col min="1492" max="1492" width="11" style="2" customWidth="1"/>
    <col min="1493" max="1493" width="10.85546875" style="2" customWidth="1"/>
    <col min="1494" max="1494" width="9.42578125" style="2" customWidth="1"/>
    <col min="1495" max="1743" width="10.140625" style="2"/>
    <col min="1744" max="1744" width="5.28515625" style="2" customWidth="1"/>
    <col min="1745" max="1745" width="23" style="2" customWidth="1"/>
    <col min="1746" max="1746" width="18" style="2" customWidth="1"/>
    <col min="1747" max="1747" width="12" style="2" customWidth="1"/>
    <col min="1748" max="1748" width="11" style="2" customWidth="1"/>
    <col min="1749" max="1749" width="10.85546875" style="2" customWidth="1"/>
    <col min="1750" max="1750" width="9.42578125" style="2" customWidth="1"/>
    <col min="1751" max="1999" width="10.140625" style="2"/>
    <col min="2000" max="2000" width="5.28515625" style="2" customWidth="1"/>
    <col min="2001" max="2001" width="23" style="2" customWidth="1"/>
    <col min="2002" max="2002" width="18" style="2" customWidth="1"/>
    <col min="2003" max="2003" width="12" style="2" customWidth="1"/>
    <col min="2004" max="2004" width="11" style="2" customWidth="1"/>
    <col min="2005" max="2005" width="10.85546875" style="2" customWidth="1"/>
    <col min="2006" max="2006" width="9.42578125" style="2" customWidth="1"/>
    <col min="2007" max="2255" width="10.140625" style="2"/>
    <col min="2256" max="2256" width="5.28515625" style="2" customWidth="1"/>
    <col min="2257" max="2257" width="23" style="2" customWidth="1"/>
    <col min="2258" max="2258" width="18" style="2" customWidth="1"/>
    <col min="2259" max="2259" width="12" style="2" customWidth="1"/>
    <col min="2260" max="2260" width="11" style="2" customWidth="1"/>
    <col min="2261" max="2261" width="10.85546875" style="2" customWidth="1"/>
    <col min="2262" max="2262" width="9.42578125" style="2" customWidth="1"/>
    <col min="2263" max="2511" width="10.140625" style="2"/>
    <col min="2512" max="2512" width="5.28515625" style="2" customWidth="1"/>
    <col min="2513" max="2513" width="23" style="2" customWidth="1"/>
    <col min="2514" max="2514" width="18" style="2" customWidth="1"/>
    <col min="2515" max="2515" width="12" style="2" customWidth="1"/>
    <col min="2516" max="2516" width="11" style="2" customWidth="1"/>
    <col min="2517" max="2517" width="10.85546875" style="2" customWidth="1"/>
    <col min="2518" max="2518" width="9.42578125" style="2" customWidth="1"/>
    <col min="2519" max="2767" width="10.140625" style="2"/>
    <col min="2768" max="2768" width="5.28515625" style="2" customWidth="1"/>
    <col min="2769" max="2769" width="23" style="2" customWidth="1"/>
    <col min="2770" max="2770" width="18" style="2" customWidth="1"/>
    <col min="2771" max="2771" width="12" style="2" customWidth="1"/>
    <col min="2772" max="2772" width="11" style="2" customWidth="1"/>
    <col min="2773" max="2773" width="10.85546875" style="2" customWidth="1"/>
    <col min="2774" max="2774" width="9.42578125" style="2" customWidth="1"/>
    <col min="2775" max="3023" width="10.140625" style="2"/>
    <col min="3024" max="3024" width="5.28515625" style="2" customWidth="1"/>
    <col min="3025" max="3025" width="23" style="2" customWidth="1"/>
    <col min="3026" max="3026" width="18" style="2" customWidth="1"/>
    <col min="3027" max="3027" width="12" style="2" customWidth="1"/>
    <col min="3028" max="3028" width="11" style="2" customWidth="1"/>
    <col min="3029" max="3029" width="10.85546875" style="2" customWidth="1"/>
    <col min="3030" max="3030" width="9.42578125" style="2" customWidth="1"/>
    <col min="3031" max="3279" width="10.140625" style="2"/>
    <col min="3280" max="3280" width="5.28515625" style="2" customWidth="1"/>
    <col min="3281" max="3281" width="23" style="2" customWidth="1"/>
    <col min="3282" max="3282" width="18" style="2" customWidth="1"/>
    <col min="3283" max="3283" width="12" style="2" customWidth="1"/>
    <col min="3284" max="3284" width="11" style="2" customWidth="1"/>
    <col min="3285" max="3285" width="10.85546875" style="2" customWidth="1"/>
    <col min="3286" max="3286" width="9.42578125" style="2" customWidth="1"/>
    <col min="3287" max="3535" width="10.140625" style="2"/>
    <col min="3536" max="3536" width="5.28515625" style="2" customWidth="1"/>
    <col min="3537" max="3537" width="23" style="2" customWidth="1"/>
    <col min="3538" max="3538" width="18" style="2" customWidth="1"/>
    <col min="3539" max="3539" width="12" style="2" customWidth="1"/>
    <col min="3540" max="3540" width="11" style="2" customWidth="1"/>
    <col min="3541" max="3541" width="10.85546875" style="2" customWidth="1"/>
    <col min="3542" max="3542" width="9.42578125" style="2" customWidth="1"/>
    <col min="3543" max="3791" width="10.140625" style="2"/>
    <col min="3792" max="3792" width="5.28515625" style="2" customWidth="1"/>
    <col min="3793" max="3793" width="23" style="2" customWidth="1"/>
    <col min="3794" max="3794" width="18" style="2" customWidth="1"/>
    <col min="3795" max="3795" width="12" style="2" customWidth="1"/>
    <col min="3796" max="3796" width="11" style="2" customWidth="1"/>
    <col min="3797" max="3797" width="10.85546875" style="2" customWidth="1"/>
    <col min="3798" max="3798" width="9.42578125" style="2" customWidth="1"/>
    <col min="3799" max="4047" width="10.140625" style="2"/>
    <col min="4048" max="4048" width="5.28515625" style="2" customWidth="1"/>
    <col min="4049" max="4049" width="23" style="2" customWidth="1"/>
    <col min="4050" max="4050" width="18" style="2" customWidth="1"/>
    <col min="4051" max="4051" width="12" style="2" customWidth="1"/>
    <col min="4052" max="4052" width="11" style="2" customWidth="1"/>
    <col min="4053" max="4053" width="10.85546875" style="2" customWidth="1"/>
    <col min="4054" max="4054" width="9.42578125" style="2" customWidth="1"/>
    <col min="4055" max="4303" width="10.140625" style="2"/>
    <col min="4304" max="4304" width="5.28515625" style="2" customWidth="1"/>
    <col min="4305" max="4305" width="23" style="2" customWidth="1"/>
    <col min="4306" max="4306" width="18" style="2" customWidth="1"/>
    <col min="4307" max="4307" width="12" style="2" customWidth="1"/>
    <col min="4308" max="4308" width="11" style="2" customWidth="1"/>
    <col min="4309" max="4309" width="10.85546875" style="2" customWidth="1"/>
    <col min="4310" max="4310" width="9.42578125" style="2" customWidth="1"/>
    <col min="4311" max="4559" width="10.140625" style="2"/>
    <col min="4560" max="4560" width="5.28515625" style="2" customWidth="1"/>
    <col min="4561" max="4561" width="23" style="2" customWidth="1"/>
    <col min="4562" max="4562" width="18" style="2" customWidth="1"/>
    <col min="4563" max="4563" width="12" style="2" customWidth="1"/>
    <col min="4564" max="4564" width="11" style="2" customWidth="1"/>
    <col min="4565" max="4565" width="10.85546875" style="2" customWidth="1"/>
    <col min="4566" max="4566" width="9.42578125" style="2" customWidth="1"/>
    <col min="4567" max="4815" width="10.140625" style="2"/>
    <col min="4816" max="4816" width="5.28515625" style="2" customWidth="1"/>
    <col min="4817" max="4817" width="23" style="2" customWidth="1"/>
    <col min="4818" max="4818" width="18" style="2" customWidth="1"/>
    <col min="4819" max="4819" width="12" style="2" customWidth="1"/>
    <col min="4820" max="4820" width="11" style="2" customWidth="1"/>
    <col min="4821" max="4821" width="10.85546875" style="2" customWidth="1"/>
    <col min="4822" max="4822" width="9.42578125" style="2" customWidth="1"/>
    <col min="4823" max="5071" width="10.140625" style="2"/>
    <col min="5072" max="5072" width="5.28515625" style="2" customWidth="1"/>
    <col min="5073" max="5073" width="23" style="2" customWidth="1"/>
    <col min="5074" max="5074" width="18" style="2" customWidth="1"/>
    <col min="5075" max="5075" width="12" style="2" customWidth="1"/>
    <col min="5076" max="5076" width="11" style="2" customWidth="1"/>
    <col min="5077" max="5077" width="10.85546875" style="2" customWidth="1"/>
    <col min="5078" max="5078" width="9.42578125" style="2" customWidth="1"/>
    <col min="5079" max="5327" width="10.140625" style="2"/>
    <col min="5328" max="5328" width="5.28515625" style="2" customWidth="1"/>
    <col min="5329" max="5329" width="23" style="2" customWidth="1"/>
    <col min="5330" max="5330" width="18" style="2" customWidth="1"/>
    <col min="5331" max="5331" width="12" style="2" customWidth="1"/>
    <col min="5332" max="5332" width="11" style="2" customWidth="1"/>
    <col min="5333" max="5333" width="10.85546875" style="2" customWidth="1"/>
    <col min="5334" max="5334" width="9.42578125" style="2" customWidth="1"/>
    <col min="5335" max="5583" width="10.140625" style="2"/>
    <col min="5584" max="5584" width="5.28515625" style="2" customWidth="1"/>
    <col min="5585" max="5585" width="23" style="2" customWidth="1"/>
    <col min="5586" max="5586" width="18" style="2" customWidth="1"/>
    <col min="5587" max="5587" width="12" style="2" customWidth="1"/>
    <col min="5588" max="5588" width="11" style="2" customWidth="1"/>
    <col min="5589" max="5589" width="10.85546875" style="2" customWidth="1"/>
    <col min="5590" max="5590" width="9.42578125" style="2" customWidth="1"/>
    <col min="5591" max="5839" width="10.140625" style="2"/>
    <col min="5840" max="5840" width="5.28515625" style="2" customWidth="1"/>
    <col min="5841" max="5841" width="23" style="2" customWidth="1"/>
    <col min="5842" max="5842" width="18" style="2" customWidth="1"/>
    <col min="5843" max="5843" width="12" style="2" customWidth="1"/>
    <col min="5844" max="5844" width="11" style="2" customWidth="1"/>
    <col min="5845" max="5845" width="10.85546875" style="2" customWidth="1"/>
    <col min="5846" max="5846" width="9.42578125" style="2" customWidth="1"/>
    <col min="5847" max="6095" width="10.140625" style="2"/>
    <col min="6096" max="6096" width="5.28515625" style="2" customWidth="1"/>
    <col min="6097" max="6097" width="23" style="2" customWidth="1"/>
    <col min="6098" max="6098" width="18" style="2" customWidth="1"/>
    <col min="6099" max="6099" width="12" style="2" customWidth="1"/>
    <col min="6100" max="6100" width="11" style="2" customWidth="1"/>
    <col min="6101" max="6101" width="10.85546875" style="2" customWidth="1"/>
    <col min="6102" max="6102" width="9.42578125" style="2" customWidth="1"/>
    <col min="6103" max="6351" width="10.140625" style="2"/>
    <col min="6352" max="6352" width="5.28515625" style="2" customWidth="1"/>
    <col min="6353" max="6353" width="23" style="2" customWidth="1"/>
    <col min="6354" max="6354" width="18" style="2" customWidth="1"/>
    <col min="6355" max="6355" width="12" style="2" customWidth="1"/>
    <col min="6356" max="6356" width="11" style="2" customWidth="1"/>
    <col min="6357" max="6357" width="10.85546875" style="2" customWidth="1"/>
    <col min="6358" max="6358" width="9.42578125" style="2" customWidth="1"/>
    <col min="6359" max="6607" width="10.140625" style="2"/>
    <col min="6608" max="6608" width="5.28515625" style="2" customWidth="1"/>
    <col min="6609" max="6609" width="23" style="2" customWidth="1"/>
    <col min="6610" max="6610" width="18" style="2" customWidth="1"/>
    <col min="6611" max="6611" width="12" style="2" customWidth="1"/>
    <col min="6612" max="6612" width="11" style="2" customWidth="1"/>
    <col min="6613" max="6613" width="10.85546875" style="2" customWidth="1"/>
    <col min="6614" max="6614" width="9.42578125" style="2" customWidth="1"/>
    <col min="6615" max="6863" width="10.140625" style="2"/>
    <col min="6864" max="6864" width="5.28515625" style="2" customWidth="1"/>
    <col min="6865" max="6865" width="23" style="2" customWidth="1"/>
    <col min="6866" max="6866" width="18" style="2" customWidth="1"/>
    <col min="6867" max="6867" width="12" style="2" customWidth="1"/>
    <col min="6868" max="6868" width="11" style="2" customWidth="1"/>
    <col min="6869" max="6869" width="10.85546875" style="2" customWidth="1"/>
    <col min="6870" max="6870" width="9.42578125" style="2" customWidth="1"/>
    <col min="6871" max="7119" width="10.140625" style="2"/>
    <col min="7120" max="7120" width="5.28515625" style="2" customWidth="1"/>
    <col min="7121" max="7121" width="23" style="2" customWidth="1"/>
    <col min="7122" max="7122" width="18" style="2" customWidth="1"/>
    <col min="7123" max="7123" width="12" style="2" customWidth="1"/>
    <col min="7124" max="7124" width="11" style="2" customWidth="1"/>
    <col min="7125" max="7125" width="10.85546875" style="2" customWidth="1"/>
    <col min="7126" max="7126" width="9.42578125" style="2" customWidth="1"/>
    <col min="7127" max="7375" width="10.140625" style="2"/>
    <col min="7376" max="7376" width="5.28515625" style="2" customWidth="1"/>
    <col min="7377" max="7377" width="23" style="2" customWidth="1"/>
    <col min="7378" max="7378" width="18" style="2" customWidth="1"/>
    <col min="7379" max="7379" width="12" style="2" customWidth="1"/>
    <col min="7380" max="7380" width="11" style="2" customWidth="1"/>
    <col min="7381" max="7381" width="10.85546875" style="2" customWidth="1"/>
    <col min="7382" max="7382" width="9.42578125" style="2" customWidth="1"/>
    <col min="7383" max="7631" width="10.140625" style="2"/>
    <col min="7632" max="7632" width="5.28515625" style="2" customWidth="1"/>
    <col min="7633" max="7633" width="23" style="2" customWidth="1"/>
    <col min="7634" max="7634" width="18" style="2" customWidth="1"/>
    <col min="7635" max="7635" width="12" style="2" customWidth="1"/>
    <col min="7636" max="7636" width="11" style="2" customWidth="1"/>
    <col min="7637" max="7637" width="10.85546875" style="2" customWidth="1"/>
    <col min="7638" max="7638" width="9.42578125" style="2" customWidth="1"/>
    <col min="7639" max="7887" width="10.140625" style="2"/>
    <col min="7888" max="7888" width="5.28515625" style="2" customWidth="1"/>
    <col min="7889" max="7889" width="23" style="2" customWidth="1"/>
    <col min="7890" max="7890" width="18" style="2" customWidth="1"/>
    <col min="7891" max="7891" width="12" style="2" customWidth="1"/>
    <col min="7892" max="7892" width="11" style="2" customWidth="1"/>
    <col min="7893" max="7893" width="10.85546875" style="2" customWidth="1"/>
    <col min="7894" max="7894" width="9.42578125" style="2" customWidth="1"/>
    <col min="7895" max="8143" width="10.140625" style="2"/>
    <col min="8144" max="8144" width="5.28515625" style="2" customWidth="1"/>
    <col min="8145" max="8145" width="23" style="2" customWidth="1"/>
    <col min="8146" max="8146" width="18" style="2" customWidth="1"/>
    <col min="8147" max="8147" width="12" style="2" customWidth="1"/>
    <col min="8148" max="8148" width="11" style="2" customWidth="1"/>
    <col min="8149" max="8149" width="10.85546875" style="2" customWidth="1"/>
    <col min="8150" max="8150" width="9.42578125" style="2" customWidth="1"/>
    <col min="8151" max="8399" width="10.140625" style="2"/>
    <col min="8400" max="8400" width="5.28515625" style="2" customWidth="1"/>
    <col min="8401" max="8401" width="23" style="2" customWidth="1"/>
    <col min="8402" max="8402" width="18" style="2" customWidth="1"/>
    <col min="8403" max="8403" width="12" style="2" customWidth="1"/>
    <col min="8404" max="8404" width="11" style="2" customWidth="1"/>
    <col min="8405" max="8405" width="10.85546875" style="2" customWidth="1"/>
    <col min="8406" max="8406" width="9.42578125" style="2" customWidth="1"/>
    <col min="8407" max="8655" width="10.140625" style="2"/>
    <col min="8656" max="8656" width="5.28515625" style="2" customWidth="1"/>
    <col min="8657" max="8657" width="23" style="2" customWidth="1"/>
    <col min="8658" max="8658" width="18" style="2" customWidth="1"/>
    <col min="8659" max="8659" width="12" style="2" customWidth="1"/>
    <col min="8660" max="8660" width="11" style="2" customWidth="1"/>
    <col min="8661" max="8661" width="10.85546875" style="2" customWidth="1"/>
    <col min="8662" max="8662" width="9.42578125" style="2" customWidth="1"/>
    <col min="8663" max="8911" width="10.140625" style="2"/>
    <col min="8912" max="8912" width="5.28515625" style="2" customWidth="1"/>
    <col min="8913" max="8913" width="23" style="2" customWidth="1"/>
    <col min="8914" max="8914" width="18" style="2" customWidth="1"/>
    <col min="8915" max="8915" width="12" style="2" customWidth="1"/>
    <col min="8916" max="8916" width="11" style="2" customWidth="1"/>
    <col min="8917" max="8917" width="10.85546875" style="2" customWidth="1"/>
    <col min="8918" max="8918" width="9.42578125" style="2" customWidth="1"/>
    <col min="8919" max="9167" width="10.140625" style="2"/>
    <col min="9168" max="9168" width="5.28515625" style="2" customWidth="1"/>
    <col min="9169" max="9169" width="23" style="2" customWidth="1"/>
    <col min="9170" max="9170" width="18" style="2" customWidth="1"/>
    <col min="9171" max="9171" width="12" style="2" customWidth="1"/>
    <col min="9172" max="9172" width="11" style="2" customWidth="1"/>
    <col min="9173" max="9173" width="10.85546875" style="2" customWidth="1"/>
    <col min="9174" max="9174" width="9.42578125" style="2" customWidth="1"/>
    <col min="9175" max="9423" width="10.140625" style="2"/>
    <col min="9424" max="9424" width="5.28515625" style="2" customWidth="1"/>
    <col min="9425" max="9425" width="23" style="2" customWidth="1"/>
    <col min="9426" max="9426" width="18" style="2" customWidth="1"/>
    <col min="9427" max="9427" width="12" style="2" customWidth="1"/>
    <col min="9428" max="9428" width="11" style="2" customWidth="1"/>
    <col min="9429" max="9429" width="10.85546875" style="2" customWidth="1"/>
    <col min="9430" max="9430" width="9.42578125" style="2" customWidth="1"/>
    <col min="9431" max="9679" width="10.140625" style="2"/>
    <col min="9680" max="9680" width="5.28515625" style="2" customWidth="1"/>
    <col min="9681" max="9681" width="23" style="2" customWidth="1"/>
    <col min="9682" max="9682" width="18" style="2" customWidth="1"/>
    <col min="9683" max="9683" width="12" style="2" customWidth="1"/>
    <col min="9684" max="9684" width="11" style="2" customWidth="1"/>
    <col min="9685" max="9685" width="10.85546875" style="2" customWidth="1"/>
    <col min="9686" max="9686" width="9.42578125" style="2" customWidth="1"/>
    <col min="9687" max="9935" width="10.140625" style="2"/>
    <col min="9936" max="9936" width="5.28515625" style="2" customWidth="1"/>
    <col min="9937" max="9937" width="23" style="2" customWidth="1"/>
    <col min="9938" max="9938" width="18" style="2" customWidth="1"/>
    <col min="9939" max="9939" width="12" style="2" customWidth="1"/>
    <col min="9940" max="9940" width="11" style="2" customWidth="1"/>
    <col min="9941" max="9941" width="10.85546875" style="2" customWidth="1"/>
    <col min="9942" max="9942" width="9.42578125" style="2" customWidth="1"/>
    <col min="9943" max="10191" width="10.140625" style="2"/>
    <col min="10192" max="10192" width="5.28515625" style="2" customWidth="1"/>
    <col min="10193" max="10193" width="23" style="2" customWidth="1"/>
    <col min="10194" max="10194" width="18" style="2" customWidth="1"/>
    <col min="10195" max="10195" width="12" style="2" customWidth="1"/>
    <col min="10196" max="10196" width="11" style="2" customWidth="1"/>
    <col min="10197" max="10197" width="10.85546875" style="2" customWidth="1"/>
    <col min="10198" max="10198" width="9.42578125" style="2" customWidth="1"/>
    <col min="10199" max="10447" width="10.140625" style="2"/>
    <col min="10448" max="10448" width="5.28515625" style="2" customWidth="1"/>
    <col min="10449" max="10449" width="23" style="2" customWidth="1"/>
    <col min="10450" max="10450" width="18" style="2" customWidth="1"/>
    <col min="10451" max="10451" width="12" style="2" customWidth="1"/>
    <col min="10452" max="10452" width="11" style="2" customWidth="1"/>
    <col min="10453" max="10453" width="10.85546875" style="2" customWidth="1"/>
    <col min="10454" max="10454" width="9.42578125" style="2" customWidth="1"/>
    <col min="10455" max="10703" width="10.140625" style="2"/>
    <col min="10704" max="10704" width="5.28515625" style="2" customWidth="1"/>
    <col min="10705" max="10705" width="23" style="2" customWidth="1"/>
    <col min="10706" max="10706" width="18" style="2" customWidth="1"/>
    <col min="10707" max="10707" width="12" style="2" customWidth="1"/>
    <col min="10708" max="10708" width="11" style="2" customWidth="1"/>
    <col min="10709" max="10709" width="10.85546875" style="2" customWidth="1"/>
    <col min="10710" max="10710" width="9.42578125" style="2" customWidth="1"/>
    <col min="10711" max="10959" width="10.140625" style="2"/>
    <col min="10960" max="10960" width="5.28515625" style="2" customWidth="1"/>
    <col min="10961" max="10961" width="23" style="2" customWidth="1"/>
    <col min="10962" max="10962" width="18" style="2" customWidth="1"/>
    <col min="10963" max="10963" width="12" style="2" customWidth="1"/>
    <col min="10964" max="10964" width="11" style="2" customWidth="1"/>
    <col min="10965" max="10965" width="10.85546875" style="2" customWidth="1"/>
    <col min="10966" max="10966" width="9.42578125" style="2" customWidth="1"/>
    <col min="10967" max="11215" width="10.140625" style="2"/>
    <col min="11216" max="11216" width="5.28515625" style="2" customWidth="1"/>
    <col min="11217" max="11217" width="23" style="2" customWidth="1"/>
    <col min="11218" max="11218" width="18" style="2" customWidth="1"/>
    <col min="11219" max="11219" width="12" style="2" customWidth="1"/>
    <col min="11220" max="11220" width="11" style="2" customWidth="1"/>
    <col min="11221" max="11221" width="10.85546875" style="2" customWidth="1"/>
    <col min="11222" max="11222" width="9.42578125" style="2" customWidth="1"/>
    <col min="11223" max="11471" width="10.140625" style="2"/>
    <col min="11472" max="11472" width="5.28515625" style="2" customWidth="1"/>
    <col min="11473" max="11473" width="23" style="2" customWidth="1"/>
    <col min="11474" max="11474" width="18" style="2" customWidth="1"/>
    <col min="11475" max="11475" width="12" style="2" customWidth="1"/>
    <col min="11476" max="11476" width="11" style="2" customWidth="1"/>
    <col min="11477" max="11477" width="10.85546875" style="2" customWidth="1"/>
    <col min="11478" max="11478" width="9.42578125" style="2" customWidth="1"/>
    <col min="11479" max="11727" width="10.140625" style="2"/>
    <col min="11728" max="11728" width="5.28515625" style="2" customWidth="1"/>
    <col min="11729" max="11729" width="23" style="2" customWidth="1"/>
    <col min="11730" max="11730" width="18" style="2" customWidth="1"/>
    <col min="11731" max="11731" width="12" style="2" customWidth="1"/>
    <col min="11732" max="11732" width="11" style="2" customWidth="1"/>
    <col min="11733" max="11733" width="10.85546875" style="2" customWidth="1"/>
    <col min="11734" max="11734" width="9.42578125" style="2" customWidth="1"/>
    <col min="11735" max="11983" width="10.140625" style="2"/>
    <col min="11984" max="11984" width="5.28515625" style="2" customWidth="1"/>
    <col min="11985" max="11985" width="23" style="2" customWidth="1"/>
    <col min="11986" max="11986" width="18" style="2" customWidth="1"/>
    <col min="11987" max="11987" width="12" style="2" customWidth="1"/>
    <col min="11988" max="11988" width="11" style="2" customWidth="1"/>
    <col min="11989" max="11989" width="10.85546875" style="2" customWidth="1"/>
    <col min="11990" max="11990" width="9.42578125" style="2" customWidth="1"/>
    <col min="11991" max="12239" width="10.140625" style="2"/>
    <col min="12240" max="12240" width="5.28515625" style="2" customWidth="1"/>
    <col min="12241" max="12241" width="23" style="2" customWidth="1"/>
    <col min="12242" max="12242" width="18" style="2" customWidth="1"/>
    <col min="12243" max="12243" width="12" style="2" customWidth="1"/>
    <col min="12244" max="12244" width="11" style="2" customWidth="1"/>
    <col min="12245" max="12245" width="10.85546875" style="2" customWidth="1"/>
    <col min="12246" max="12246" width="9.42578125" style="2" customWidth="1"/>
    <col min="12247" max="12495" width="10.140625" style="2"/>
    <col min="12496" max="12496" width="5.28515625" style="2" customWidth="1"/>
    <col min="12497" max="12497" width="23" style="2" customWidth="1"/>
    <col min="12498" max="12498" width="18" style="2" customWidth="1"/>
    <col min="12499" max="12499" width="12" style="2" customWidth="1"/>
    <col min="12500" max="12500" width="11" style="2" customWidth="1"/>
    <col min="12501" max="12501" width="10.85546875" style="2" customWidth="1"/>
    <col min="12502" max="12502" width="9.42578125" style="2" customWidth="1"/>
    <col min="12503" max="12751" width="10.140625" style="2"/>
    <col min="12752" max="12752" width="5.28515625" style="2" customWidth="1"/>
    <col min="12753" max="12753" width="23" style="2" customWidth="1"/>
    <col min="12754" max="12754" width="18" style="2" customWidth="1"/>
    <col min="12755" max="12755" width="12" style="2" customWidth="1"/>
    <col min="12756" max="12756" width="11" style="2" customWidth="1"/>
    <col min="12757" max="12757" width="10.85546875" style="2" customWidth="1"/>
    <col min="12758" max="12758" width="9.42578125" style="2" customWidth="1"/>
    <col min="12759" max="13007" width="10.140625" style="2"/>
    <col min="13008" max="13008" width="5.28515625" style="2" customWidth="1"/>
    <col min="13009" max="13009" width="23" style="2" customWidth="1"/>
    <col min="13010" max="13010" width="18" style="2" customWidth="1"/>
    <col min="13011" max="13011" width="12" style="2" customWidth="1"/>
    <col min="13012" max="13012" width="11" style="2" customWidth="1"/>
    <col min="13013" max="13013" width="10.85546875" style="2" customWidth="1"/>
    <col min="13014" max="13014" width="9.42578125" style="2" customWidth="1"/>
    <col min="13015" max="13263" width="10.140625" style="2"/>
    <col min="13264" max="13264" width="5.28515625" style="2" customWidth="1"/>
    <col min="13265" max="13265" width="23" style="2" customWidth="1"/>
    <col min="13266" max="13266" width="18" style="2" customWidth="1"/>
    <col min="13267" max="13267" width="12" style="2" customWidth="1"/>
    <col min="13268" max="13268" width="11" style="2" customWidth="1"/>
    <col min="13269" max="13269" width="10.85546875" style="2" customWidth="1"/>
    <col min="13270" max="13270" width="9.42578125" style="2" customWidth="1"/>
    <col min="13271" max="13519" width="10.140625" style="2"/>
    <col min="13520" max="13520" width="5.28515625" style="2" customWidth="1"/>
    <col min="13521" max="13521" width="23" style="2" customWidth="1"/>
    <col min="13522" max="13522" width="18" style="2" customWidth="1"/>
    <col min="13523" max="13523" width="12" style="2" customWidth="1"/>
    <col min="13524" max="13524" width="11" style="2" customWidth="1"/>
    <col min="13525" max="13525" width="10.85546875" style="2" customWidth="1"/>
    <col min="13526" max="13526" width="9.42578125" style="2" customWidth="1"/>
    <col min="13527" max="13775" width="10.140625" style="2"/>
    <col min="13776" max="13776" width="5.28515625" style="2" customWidth="1"/>
    <col min="13777" max="13777" width="23" style="2" customWidth="1"/>
    <col min="13778" max="13778" width="18" style="2" customWidth="1"/>
    <col min="13779" max="13779" width="12" style="2" customWidth="1"/>
    <col min="13780" max="13780" width="11" style="2" customWidth="1"/>
    <col min="13781" max="13781" width="10.85546875" style="2" customWidth="1"/>
    <col min="13782" max="13782" width="9.42578125" style="2" customWidth="1"/>
    <col min="13783" max="14031" width="10.140625" style="2"/>
    <col min="14032" max="14032" width="5.28515625" style="2" customWidth="1"/>
    <col min="14033" max="14033" width="23" style="2" customWidth="1"/>
    <col min="14034" max="14034" width="18" style="2" customWidth="1"/>
    <col min="14035" max="14035" width="12" style="2" customWidth="1"/>
    <col min="14036" max="14036" width="11" style="2" customWidth="1"/>
    <col min="14037" max="14037" width="10.85546875" style="2" customWidth="1"/>
    <col min="14038" max="14038" width="9.42578125" style="2" customWidth="1"/>
    <col min="14039" max="14287" width="10.140625" style="2"/>
    <col min="14288" max="14288" width="5.28515625" style="2" customWidth="1"/>
    <col min="14289" max="14289" width="23" style="2" customWidth="1"/>
    <col min="14290" max="14290" width="18" style="2" customWidth="1"/>
    <col min="14291" max="14291" width="12" style="2" customWidth="1"/>
    <col min="14292" max="14292" width="11" style="2" customWidth="1"/>
    <col min="14293" max="14293" width="10.85546875" style="2" customWidth="1"/>
    <col min="14294" max="14294" width="9.42578125" style="2" customWidth="1"/>
    <col min="14295" max="14543" width="10.140625" style="2"/>
    <col min="14544" max="14544" width="5.28515625" style="2" customWidth="1"/>
    <col min="14545" max="14545" width="23" style="2" customWidth="1"/>
    <col min="14546" max="14546" width="18" style="2" customWidth="1"/>
    <col min="14547" max="14547" width="12" style="2" customWidth="1"/>
    <col min="14548" max="14548" width="11" style="2" customWidth="1"/>
    <col min="14549" max="14549" width="10.85546875" style="2" customWidth="1"/>
    <col min="14550" max="14550" width="9.42578125" style="2" customWidth="1"/>
    <col min="14551" max="14799" width="10.140625" style="2"/>
    <col min="14800" max="14800" width="5.28515625" style="2" customWidth="1"/>
    <col min="14801" max="14801" width="23" style="2" customWidth="1"/>
    <col min="14802" max="14802" width="18" style="2" customWidth="1"/>
    <col min="14803" max="14803" width="12" style="2" customWidth="1"/>
    <col min="14804" max="14804" width="11" style="2" customWidth="1"/>
    <col min="14805" max="14805" width="10.85546875" style="2" customWidth="1"/>
    <col min="14806" max="14806" width="9.42578125" style="2" customWidth="1"/>
    <col min="14807" max="15055" width="10.140625" style="2"/>
    <col min="15056" max="15056" width="5.28515625" style="2" customWidth="1"/>
    <col min="15057" max="15057" width="23" style="2" customWidth="1"/>
    <col min="15058" max="15058" width="18" style="2" customWidth="1"/>
    <col min="15059" max="15059" width="12" style="2" customWidth="1"/>
    <col min="15060" max="15060" width="11" style="2" customWidth="1"/>
    <col min="15061" max="15061" width="10.85546875" style="2" customWidth="1"/>
    <col min="15062" max="15062" width="9.42578125" style="2" customWidth="1"/>
    <col min="15063" max="15311" width="10.140625" style="2"/>
    <col min="15312" max="15312" width="5.28515625" style="2" customWidth="1"/>
    <col min="15313" max="15313" width="23" style="2" customWidth="1"/>
    <col min="15314" max="15314" width="18" style="2" customWidth="1"/>
    <col min="15315" max="15315" width="12" style="2" customWidth="1"/>
    <col min="15316" max="15316" width="11" style="2" customWidth="1"/>
    <col min="15317" max="15317" width="10.85546875" style="2" customWidth="1"/>
    <col min="15318" max="15318" width="9.42578125" style="2" customWidth="1"/>
    <col min="15319" max="15567" width="10.140625" style="2"/>
    <col min="15568" max="15568" width="5.28515625" style="2" customWidth="1"/>
    <col min="15569" max="15569" width="23" style="2" customWidth="1"/>
    <col min="15570" max="15570" width="18" style="2" customWidth="1"/>
    <col min="15571" max="15571" width="12" style="2" customWidth="1"/>
    <col min="15572" max="15572" width="11" style="2" customWidth="1"/>
    <col min="15573" max="15573" width="10.85546875" style="2" customWidth="1"/>
    <col min="15574" max="15574" width="9.42578125" style="2" customWidth="1"/>
    <col min="15575" max="15823" width="10.140625" style="2"/>
    <col min="15824" max="15824" width="5.28515625" style="2" customWidth="1"/>
    <col min="15825" max="15825" width="23" style="2" customWidth="1"/>
    <col min="15826" max="15826" width="18" style="2" customWidth="1"/>
    <col min="15827" max="15827" width="12" style="2" customWidth="1"/>
    <col min="15828" max="15828" width="11" style="2" customWidth="1"/>
    <col min="15829" max="15829" width="10.85546875" style="2" customWidth="1"/>
    <col min="15830" max="15830" width="9.42578125" style="2" customWidth="1"/>
    <col min="15831" max="16079" width="10.140625" style="2"/>
    <col min="16080" max="16080" width="5.28515625" style="2" customWidth="1"/>
    <col min="16081" max="16081" width="23" style="2" customWidth="1"/>
    <col min="16082" max="16082" width="18" style="2" customWidth="1"/>
    <col min="16083" max="16083" width="12" style="2" customWidth="1"/>
    <col min="16084" max="16084" width="11" style="2" customWidth="1"/>
    <col min="16085" max="16085" width="10.85546875" style="2" customWidth="1"/>
    <col min="16086" max="16086" width="9.42578125" style="2" customWidth="1"/>
    <col min="16087" max="16384" width="10.140625" style="2"/>
  </cols>
  <sheetData>
    <row r="1" spans="1:13" ht="15.75" x14ac:dyDescent="0.25">
      <c r="A1" s="1"/>
      <c r="B1" s="1"/>
      <c r="C1" s="1"/>
      <c r="D1" s="1"/>
      <c r="E1" s="1"/>
      <c r="F1" s="1"/>
      <c r="G1" s="1"/>
      <c r="H1" s="1"/>
      <c r="I1" s="1" t="s">
        <v>284</v>
      </c>
      <c r="J1" s="1"/>
      <c r="K1" s="1"/>
      <c r="L1" s="1"/>
      <c r="M1" s="1"/>
    </row>
    <row r="2" spans="1:13" ht="15.75" x14ac:dyDescent="0.25">
      <c r="A2" s="1"/>
      <c r="B2" s="1"/>
      <c r="C2" s="1"/>
      <c r="D2" s="1"/>
      <c r="E2" s="1"/>
      <c r="F2" s="1"/>
      <c r="G2" s="1"/>
      <c r="H2" s="1"/>
      <c r="I2" s="1" t="s">
        <v>357</v>
      </c>
      <c r="J2" s="1"/>
      <c r="K2" s="1"/>
      <c r="L2" s="1"/>
      <c r="M2" s="1"/>
    </row>
    <row r="3" spans="1:13" ht="15.75" x14ac:dyDescent="0.25">
      <c r="A3" s="1"/>
      <c r="B3" s="1"/>
      <c r="C3" s="1"/>
      <c r="D3" s="1"/>
      <c r="E3" s="1"/>
      <c r="F3" s="1"/>
      <c r="G3" s="1"/>
      <c r="H3" s="1"/>
      <c r="I3" s="1" t="s">
        <v>285</v>
      </c>
      <c r="J3" s="1"/>
      <c r="K3" s="1"/>
      <c r="L3" s="1"/>
      <c r="M3" s="1"/>
    </row>
    <row r="4" spans="1:13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15.75" customHeight="1" x14ac:dyDescent="0.25">
      <c r="A5" s="5"/>
      <c r="B5" s="129" t="s">
        <v>358</v>
      </c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</row>
    <row r="6" spans="1:13" ht="15.75" customHeight="1" x14ac:dyDescent="0.25">
      <c r="A6" s="5"/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</row>
    <row r="7" spans="1:13" ht="15.75" customHeight="1" x14ac:dyDescent="0.25">
      <c r="A7" s="51"/>
      <c r="B7" s="51"/>
      <c r="C7" s="5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15.75" x14ac:dyDescent="0.25">
      <c r="A8" s="53"/>
      <c r="B8" s="54"/>
      <c r="C8" s="53"/>
      <c r="D8" s="53"/>
      <c r="E8" s="53"/>
      <c r="F8" s="53"/>
      <c r="G8" s="53"/>
      <c r="H8" s="53"/>
      <c r="I8" s="53"/>
      <c r="J8" s="53"/>
      <c r="K8" s="53"/>
      <c r="L8" s="53" t="s">
        <v>353</v>
      </c>
      <c r="M8" s="53"/>
    </row>
    <row r="9" spans="1:13" ht="15.75" x14ac:dyDescent="0.25">
      <c r="A9" s="128" t="s">
        <v>0</v>
      </c>
      <c r="B9" s="130" t="s">
        <v>235</v>
      </c>
      <c r="C9" s="130" t="s">
        <v>236</v>
      </c>
      <c r="D9" s="131" t="s">
        <v>286</v>
      </c>
      <c r="E9" s="131" t="s">
        <v>272</v>
      </c>
      <c r="F9" s="131" t="s">
        <v>276</v>
      </c>
      <c r="G9" s="132" t="s">
        <v>277</v>
      </c>
      <c r="H9" s="133" t="s">
        <v>273</v>
      </c>
      <c r="I9" s="133"/>
      <c r="J9" s="133"/>
      <c r="K9" s="133"/>
      <c r="L9" s="133"/>
      <c r="M9" s="133"/>
    </row>
    <row r="10" spans="1:13" ht="15.75" customHeight="1" x14ac:dyDescent="0.25">
      <c r="A10" s="128"/>
      <c r="B10" s="130"/>
      <c r="C10" s="130"/>
      <c r="D10" s="131"/>
      <c r="E10" s="131"/>
      <c r="F10" s="131"/>
      <c r="G10" s="132"/>
      <c r="H10" s="131" t="s">
        <v>165</v>
      </c>
      <c r="I10" s="131"/>
      <c r="J10" s="131"/>
      <c r="K10" s="131"/>
      <c r="L10" s="131" t="s">
        <v>166</v>
      </c>
      <c r="M10" s="131"/>
    </row>
    <row r="11" spans="1:13" ht="15.75" customHeight="1" x14ac:dyDescent="0.25">
      <c r="A11" s="128"/>
      <c r="B11" s="130"/>
      <c r="C11" s="130"/>
      <c r="D11" s="131"/>
      <c r="E11" s="131"/>
      <c r="F11" s="131"/>
      <c r="G11" s="132"/>
      <c r="H11" s="131" t="s">
        <v>274</v>
      </c>
      <c r="I11" s="131" t="s">
        <v>272</v>
      </c>
      <c r="J11" s="131" t="s">
        <v>275</v>
      </c>
      <c r="K11" s="131"/>
      <c r="L11" s="131" t="s">
        <v>278</v>
      </c>
      <c r="M11" s="131" t="s">
        <v>272</v>
      </c>
    </row>
    <row r="12" spans="1:13" ht="31.5" x14ac:dyDescent="0.25">
      <c r="A12" s="128"/>
      <c r="B12" s="130"/>
      <c r="C12" s="130"/>
      <c r="D12" s="131"/>
      <c r="E12" s="131"/>
      <c r="F12" s="131"/>
      <c r="G12" s="132"/>
      <c r="H12" s="131"/>
      <c r="I12" s="131"/>
      <c r="J12" s="38" t="s">
        <v>274</v>
      </c>
      <c r="K12" s="38" t="s">
        <v>272</v>
      </c>
      <c r="L12" s="131"/>
      <c r="M12" s="131"/>
    </row>
    <row r="13" spans="1:13" ht="15.75" x14ac:dyDescent="0.25">
      <c r="A13" s="49">
        <v>1</v>
      </c>
      <c r="B13" s="50">
        <v>2</v>
      </c>
      <c r="C13" s="50">
        <v>3</v>
      </c>
      <c r="D13" s="49">
        <v>4</v>
      </c>
      <c r="E13" s="50">
        <v>5</v>
      </c>
      <c r="F13" s="50">
        <v>6</v>
      </c>
      <c r="G13" s="49">
        <v>7</v>
      </c>
      <c r="H13" s="50">
        <v>8</v>
      </c>
      <c r="I13" s="50">
        <v>9</v>
      </c>
      <c r="J13" s="49">
        <v>10</v>
      </c>
      <c r="K13" s="50">
        <v>11</v>
      </c>
      <c r="L13" s="50">
        <v>12</v>
      </c>
      <c r="M13" s="49">
        <v>13</v>
      </c>
    </row>
    <row r="14" spans="1:13" ht="47.25" x14ac:dyDescent="0.25">
      <c r="A14" s="134" t="s">
        <v>237</v>
      </c>
      <c r="B14" s="135" t="s">
        <v>238</v>
      </c>
      <c r="C14" s="44" t="s">
        <v>207</v>
      </c>
      <c r="D14" s="83">
        <f>+'1 pr. asignavimai'!C101</f>
        <v>329327</v>
      </c>
      <c r="E14" s="83">
        <f>+'1 pr. asignavimai'!D101</f>
        <v>645691</v>
      </c>
      <c r="F14" s="83">
        <f>+'1 pr. asignavimai'!E101</f>
        <v>316364</v>
      </c>
      <c r="G14" s="85">
        <f>+E14/D14*100</f>
        <v>196.1</v>
      </c>
      <c r="H14" s="83">
        <f>+'1 pr. asignavimai'!G101</f>
        <v>176495</v>
      </c>
      <c r="I14" s="83">
        <f>+'1 pr. asignavimai'!H101</f>
        <v>133087</v>
      </c>
      <c r="J14" s="83">
        <f>+'1 pr. asignavimai'!I101</f>
        <v>1477</v>
      </c>
      <c r="K14" s="83">
        <f>+'1 pr. asignavimai'!J101</f>
        <v>1305</v>
      </c>
      <c r="L14" s="83">
        <f>+'1 pr. asignavimai'!K101</f>
        <v>152832</v>
      </c>
      <c r="M14" s="83">
        <f>+'1 pr. asignavimai'!L101</f>
        <v>512604</v>
      </c>
    </row>
    <row r="15" spans="1:13" ht="31.5" x14ac:dyDescent="0.25">
      <c r="A15" s="134"/>
      <c r="B15" s="135"/>
      <c r="C15" s="44" t="s">
        <v>8</v>
      </c>
      <c r="D15" s="83">
        <f>+'1 pr. asignavimai'!C11</f>
        <v>13033</v>
      </c>
      <c r="E15" s="83">
        <f>+'1 pr. asignavimai'!D11</f>
        <v>12756</v>
      </c>
      <c r="F15" s="83">
        <f>+'1 pr. asignavimai'!E11</f>
        <v>-277</v>
      </c>
      <c r="G15" s="85">
        <f t="shared" ref="G15:G56" si="0">+E15/D15*100</f>
        <v>97.9</v>
      </c>
      <c r="H15" s="83">
        <f>+'1 pr. asignavimai'!G11</f>
        <v>13033</v>
      </c>
      <c r="I15" s="83">
        <f>+'1 pr. asignavimai'!H11</f>
        <v>12756</v>
      </c>
      <c r="J15" s="83">
        <f>+'1 pr. asignavimai'!I11</f>
        <v>0</v>
      </c>
      <c r="K15" s="83">
        <f>+'1 pr. asignavimai'!J11</f>
        <v>0</v>
      </c>
      <c r="L15" s="83">
        <f>+'1 pr. asignavimai'!K11</f>
        <v>0</v>
      </c>
      <c r="M15" s="83">
        <f>+'1 pr. asignavimai'!L11</f>
        <v>0</v>
      </c>
    </row>
    <row r="16" spans="1:13" ht="47.25" x14ac:dyDescent="0.25">
      <c r="A16" s="134"/>
      <c r="B16" s="135"/>
      <c r="C16" s="44" t="s">
        <v>182</v>
      </c>
      <c r="D16" s="83">
        <f>+'1 pr. asignavimai'!C56</f>
        <v>20071</v>
      </c>
      <c r="E16" s="83">
        <f>+'1 pr. asignavimai'!D56</f>
        <v>20062</v>
      </c>
      <c r="F16" s="83">
        <f>+'1 pr. asignavimai'!E56</f>
        <v>-9</v>
      </c>
      <c r="G16" s="85">
        <f t="shared" si="0"/>
        <v>100</v>
      </c>
      <c r="H16" s="83">
        <f>+'1 pr. asignavimai'!G56</f>
        <v>5590</v>
      </c>
      <c r="I16" s="83">
        <f>+'1 pr. asignavimai'!H56</f>
        <v>5590</v>
      </c>
      <c r="J16" s="83">
        <f>+'1 pr. asignavimai'!I56</f>
        <v>0</v>
      </c>
      <c r="K16" s="83">
        <f>+'1 pr. asignavimai'!J56</f>
        <v>0</v>
      </c>
      <c r="L16" s="83">
        <f>+'1 pr. asignavimai'!K56</f>
        <v>14481</v>
      </c>
      <c r="M16" s="83">
        <f>+'1 pr. asignavimai'!L56</f>
        <v>14472</v>
      </c>
    </row>
    <row r="17" spans="1:13" ht="21" customHeight="1" x14ac:dyDescent="0.25">
      <c r="A17" s="134"/>
      <c r="B17" s="135"/>
      <c r="C17" s="44" t="s">
        <v>239</v>
      </c>
      <c r="D17" s="84">
        <f>SUM(D14:D16)</f>
        <v>362431</v>
      </c>
      <c r="E17" s="84">
        <f>SUM(E14:E16)</f>
        <v>678509</v>
      </c>
      <c r="F17" s="84">
        <f>SUM(F14:F16)</f>
        <v>316078</v>
      </c>
      <c r="G17" s="86">
        <f t="shared" si="0"/>
        <v>187.2</v>
      </c>
      <c r="H17" s="84">
        <f t="shared" ref="H17:M17" si="1">SUM(H14:H16)</f>
        <v>195118</v>
      </c>
      <c r="I17" s="84">
        <f t="shared" si="1"/>
        <v>151433</v>
      </c>
      <c r="J17" s="84">
        <f t="shared" si="1"/>
        <v>1477</v>
      </c>
      <c r="K17" s="84">
        <f t="shared" si="1"/>
        <v>1305</v>
      </c>
      <c r="L17" s="84">
        <f t="shared" si="1"/>
        <v>167313</v>
      </c>
      <c r="M17" s="84">
        <f t="shared" si="1"/>
        <v>527076</v>
      </c>
    </row>
    <row r="18" spans="1:13" ht="54" customHeight="1" x14ac:dyDescent="0.25">
      <c r="A18" s="45" t="s">
        <v>240</v>
      </c>
      <c r="B18" s="46" t="s">
        <v>241</v>
      </c>
      <c r="C18" s="44" t="s">
        <v>182</v>
      </c>
      <c r="D18" s="84">
        <f>+'1 pr. asignavimai'!C57</f>
        <v>1742101</v>
      </c>
      <c r="E18" s="84">
        <f>+'1 pr. asignavimai'!D57</f>
        <v>1680646</v>
      </c>
      <c r="F18" s="84">
        <f>+'1 pr. asignavimai'!E57</f>
        <v>-61455</v>
      </c>
      <c r="G18" s="86">
        <f t="shared" si="0"/>
        <v>96.5</v>
      </c>
      <c r="H18" s="84">
        <f>+'1 pr. asignavimai'!G57</f>
        <v>524357</v>
      </c>
      <c r="I18" s="84">
        <f>+'1 pr. asignavimai'!H57</f>
        <v>520822</v>
      </c>
      <c r="J18" s="84">
        <f>+'1 pr. asignavimai'!I57</f>
        <v>0</v>
      </c>
      <c r="K18" s="84">
        <f>+'1 pr. asignavimai'!J57</f>
        <v>0</v>
      </c>
      <c r="L18" s="84">
        <f>+'1 pr. asignavimai'!K57</f>
        <v>1217744</v>
      </c>
      <c r="M18" s="84">
        <f>+'1 pr. asignavimai'!L57</f>
        <v>1159824</v>
      </c>
    </row>
    <row r="19" spans="1:13" ht="33" customHeight="1" x14ac:dyDescent="0.25">
      <c r="A19" s="142" t="s">
        <v>242</v>
      </c>
      <c r="B19" s="135" t="s">
        <v>168</v>
      </c>
      <c r="C19" s="44" t="s">
        <v>8</v>
      </c>
      <c r="D19" s="83">
        <f>+'1 pr. asignavimai'!C12</f>
        <v>17096583</v>
      </c>
      <c r="E19" s="83">
        <f>+'1 pr. asignavimai'!D12</f>
        <v>16250881</v>
      </c>
      <c r="F19" s="83">
        <f>+'1 pr. asignavimai'!E12</f>
        <v>-845702</v>
      </c>
      <c r="G19" s="85">
        <f t="shared" si="0"/>
        <v>95.1</v>
      </c>
      <c r="H19" s="83">
        <f>+'1 pr. asignavimai'!G12</f>
        <v>8523674</v>
      </c>
      <c r="I19" s="83">
        <f>+'1 pr. asignavimai'!H12</f>
        <v>7811445</v>
      </c>
      <c r="J19" s="83">
        <f>+'1 pr. asignavimai'!I12</f>
        <v>4226765</v>
      </c>
      <c r="K19" s="83">
        <f>+'1 pr. asignavimai'!J12</f>
        <v>4199513</v>
      </c>
      <c r="L19" s="83">
        <f>+'1 pr. asignavimai'!K12</f>
        <v>8572909</v>
      </c>
      <c r="M19" s="83">
        <f>+'1 pr. asignavimai'!L12</f>
        <v>8439436</v>
      </c>
    </row>
    <row r="20" spans="1:13" ht="50.25" customHeight="1" x14ac:dyDescent="0.25">
      <c r="A20" s="142"/>
      <c r="B20" s="135"/>
      <c r="C20" s="44" t="s">
        <v>182</v>
      </c>
      <c r="D20" s="83">
        <f>+'1 pr. asignavimai'!C62</f>
        <v>543676</v>
      </c>
      <c r="E20" s="83">
        <f>+'1 pr. asignavimai'!D62</f>
        <v>473218</v>
      </c>
      <c r="F20" s="83">
        <f>+'1 pr. asignavimai'!E62</f>
        <v>-70458</v>
      </c>
      <c r="G20" s="85">
        <f t="shared" si="0"/>
        <v>87</v>
      </c>
      <c r="H20" s="83">
        <f>+'1 pr. asignavimai'!G62</f>
        <v>371352</v>
      </c>
      <c r="I20" s="83">
        <f>+'1 pr. asignavimai'!H62</f>
        <v>360439</v>
      </c>
      <c r="J20" s="83">
        <f>+'1 pr. asignavimai'!I62</f>
        <v>2172</v>
      </c>
      <c r="K20" s="83">
        <f>+'1 pr. asignavimai'!J62</f>
        <v>2171</v>
      </c>
      <c r="L20" s="83">
        <f>+'1 pr. asignavimai'!K62</f>
        <v>172324</v>
      </c>
      <c r="M20" s="83">
        <f>+'1 pr. asignavimai'!L62</f>
        <v>112779</v>
      </c>
    </row>
    <row r="21" spans="1:13" ht="47.25" customHeight="1" x14ac:dyDescent="0.25">
      <c r="A21" s="142"/>
      <c r="B21" s="135"/>
      <c r="C21" s="44" t="s">
        <v>167</v>
      </c>
      <c r="D21" s="83">
        <f>+'1 pr. asignavimai'!C9</f>
        <v>130242</v>
      </c>
      <c r="E21" s="83">
        <f>+'1 pr. asignavimai'!D9</f>
        <v>128319</v>
      </c>
      <c r="F21" s="83">
        <f>+'1 pr. asignavimai'!E9</f>
        <v>-1923</v>
      </c>
      <c r="G21" s="85">
        <f t="shared" si="0"/>
        <v>98.5</v>
      </c>
      <c r="H21" s="83">
        <f>+'1 pr. asignavimai'!G9</f>
        <v>130242</v>
      </c>
      <c r="I21" s="83">
        <f>+'1 pr. asignavimai'!H9</f>
        <v>128319</v>
      </c>
      <c r="J21" s="83">
        <f>+'1 pr. asignavimai'!I9</f>
        <v>92910</v>
      </c>
      <c r="K21" s="83">
        <f>+'1 pr. asignavimai'!J9</f>
        <v>91457</v>
      </c>
      <c r="L21" s="83">
        <f>+'1 pr. asignavimai'!K9</f>
        <v>0</v>
      </c>
      <c r="M21" s="83">
        <f>+'1 pr. asignavimai'!L9</f>
        <v>0</v>
      </c>
    </row>
    <row r="22" spans="1:13" ht="30" customHeight="1" x14ac:dyDescent="0.25">
      <c r="A22" s="142"/>
      <c r="B22" s="135"/>
      <c r="C22" s="44" t="s">
        <v>239</v>
      </c>
      <c r="D22" s="84">
        <f>SUM(D19:D21)</f>
        <v>17770501</v>
      </c>
      <c r="E22" s="84">
        <f>SUM(E19:E21)</f>
        <v>16852418</v>
      </c>
      <c r="F22" s="84">
        <f>SUM(F19:F21)</f>
        <v>-918083</v>
      </c>
      <c r="G22" s="86">
        <f t="shared" si="0"/>
        <v>94.8</v>
      </c>
      <c r="H22" s="84">
        <f t="shared" ref="H22:M22" si="2">SUM(H19:H21)</f>
        <v>9025268</v>
      </c>
      <c r="I22" s="84">
        <f t="shared" si="2"/>
        <v>8300203</v>
      </c>
      <c r="J22" s="84">
        <f t="shared" si="2"/>
        <v>4321847</v>
      </c>
      <c r="K22" s="84">
        <f t="shared" si="2"/>
        <v>4293141</v>
      </c>
      <c r="L22" s="84">
        <f t="shared" si="2"/>
        <v>8745233</v>
      </c>
      <c r="M22" s="84">
        <f t="shared" si="2"/>
        <v>8552215</v>
      </c>
    </row>
    <row r="23" spans="1:13" ht="50.25" customHeight="1" x14ac:dyDescent="0.25">
      <c r="A23" s="45" t="s">
        <v>296</v>
      </c>
      <c r="B23" s="46" t="s">
        <v>243</v>
      </c>
      <c r="C23" s="44" t="s">
        <v>182</v>
      </c>
      <c r="D23" s="84">
        <f>+'1 pr. asignavimai'!C70</f>
        <v>130298</v>
      </c>
      <c r="E23" s="84">
        <f>+'1 pr. asignavimai'!D70</f>
        <v>81623</v>
      </c>
      <c r="F23" s="84">
        <f>+'1 pr. asignavimai'!E70</f>
        <v>-48675</v>
      </c>
      <c r="G23" s="86">
        <f t="shared" si="0"/>
        <v>62.6</v>
      </c>
      <c r="H23" s="84">
        <f>+'1 pr. asignavimai'!G70</f>
        <v>110287</v>
      </c>
      <c r="I23" s="84">
        <f>+'1 pr. asignavimai'!H70</f>
        <v>62743</v>
      </c>
      <c r="J23" s="84">
        <f>+'1 pr. asignavimai'!I70</f>
        <v>0</v>
      </c>
      <c r="K23" s="84">
        <f>+'1 pr. asignavimai'!J70</f>
        <v>0</v>
      </c>
      <c r="L23" s="84">
        <f>+'1 pr. asignavimai'!K70</f>
        <v>20011</v>
      </c>
      <c r="M23" s="84">
        <f>+'1 pr. asignavimai'!L70</f>
        <v>18880</v>
      </c>
    </row>
    <row r="24" spans="1:13" ht="51" customHeight="1" x14ac:dyDescent="0.25">
      <c r="A24" s="134" t="s">
        <v>244</v>
      </c>
      <c r="B24" s="143" t="s">
        <v>208</v>
      </c>
      <c r="C24" s="44" t="s">
        <v>182</v>
      </c>
      <c r="D24" s="83">
        <f>+'1 pr. asignavimai'!C74</f>
        <v>1137758</v>
      </c>
      <c r="E24" s="83">
        <f>+'1 pr. asignavimai'!D74</f>
        <v>1029695</v>
      </c>
      <c r="F24" s="83">
        <f>+'1 pr. asignavimai'!E74</f>
        <v>-108063</v>
      </c>
      <c r="G24" s="85">
        <f>+'1 pr. asignavimai'!F74</f>
        <v>90.5</v>
      </c>
      <c r="H24" s="83">
        <f>+'1 pr. asignavimai'!G74</f>
        <v>123622</v>
      </c>
      <c r="I24" s="83">
        <f>+'1 pr. asignavimai'!H74</f>
        <v>108640</v>
      </c>
      <c r="J24" s="83">
        <f>+'1 pr. asignavimai'!I74</f>
        <v>0</v>
      </c>
      <c r="K24" s="83">
        <f>+'1 pr. asignavimai'!J74</f>
        <v>0</v>
      </c>
      <c r="L24" s="83">
        <f>+'1 pr. asignavimai'!K74</f>
        <v>1014136</v>
      </c>
      <c r="M24" s="83">
        <f>+'1 pr. asignavimai'!L74</f>
        <v>921055</v>
      </c>
    </row>
    <row r="25" spans="1:13" ht="31.5" x14ac:dyDescent="0.25">
      <c r="A25" s="134"/>
      <c r="B25" s="143"/>
      <c r="C25" s="44" t="s">
        <v>9</v>
      </c>
      <c r="D25" s="83">
        <f>+'1 pr. asignavimai'!C103</f>
        <v>5260956</v>
      </c>
      <c r="E25" s="83">
        <f>+'1 pr. asignavimai'!D103</f>
        <v>5150419</v>
      </c>
      <c r="F25" s="83">
        <f>+'1 pr. asignavimai'!E103</f>
        <v>-110537</v>
      </c>
      <c r="G25" s="85">
        <f>+'1 pr. asignavimai'!F103</f>
        <v>97.9</v>
      </c>
      <c r="H25" s="83">
        <f>+'1 pr. asignavimai'!G103</f>
        <v>5260956</v>
      </c>
      <c r="I25" s="83">
        <f>+'1 pr. asignavimai'!H103</f>
        <v>5143224</v>
      </c>
      <c r="J25" s="83">
        <f>+'1 pr. asignavimai'!I103</f>
        <v>0</v>
      </c>
      <c r="K25" s="83">
        <f>+'1 pr. asignavimai'!J103</f>
        <v>0</v>
      </c>
      <c r="L25" s="83">
        <f>+'1 pr. asignavimai'!K103</f>
        <v>0</v>
      </c>
      <c r="M25" s="83">
        <f>+'1 pr. asignavimai'!L103</f>
        <v>7195</v>
      </c>
    </row>
    <row r="26" spans="1:13" ht="24" customHeight="1" x14ac:dyDescent="0.25">
      <c r="A26" s="134"/>
      <c r="B26" s="143"/>
      <c r="C26" s="44" t="s">
        <v>239</v>
      </c>
      <c r="D26" s="84">
        <f>+D24+D25</f>
        <v>6398714</v>
      </c>
      <c r="E26" s="84">
        <f>+E24+E25</f>
        <v>6180114</v>
      </c>
      <c r="F26" s="84">
        <f>+F24+F25</f>
        <v>-218600</v>
      </c>
      <c r="G26" s="86">
        <f t="shared" si="0"/>
        <v>96.6</v>
      </c>
      <c r="H26" s="84">
        <f t="shared" ref="H26:M26" si="3">+H24+H25</f>
        <v>5384578</v>
      </c>
      <c r="I26" s="84">
        <f t="shared" si="3"/>
        <v>5251864</v>
      </c>
      <c r="J26" s="84">
        <f t="shared" si="3"/>
        <v>0</v>
      </c>
      <c r="K26" s="84">
        <f t="shared" si="3"/>
        <v>0</v>
      </c>
      <c r="L26" s="84">
        <f t="shared" si="3"/>
        <v>1014136</v>
      </c>
      <c r="M26" s="84">
        <f t="shared" si="3"/>
        <v>928250</v>
      </c>
    </row>
    <row r="27" spans="1:13" ht="39" customHeight="1" x14ac:dyDescent="0.25">
      <c r="A27" s="134" t="s">
        <v>245</v>
      </c>
      <c r="B27" s="135" t="s">
        <v>246</v>
      </c>
      <c r="C27" s="44" t="s">
        <v>8</v>
      </c>
      <c r="D27" s="83">
        <f>+'1 pr. asignavimai'!C48</f>
        <v>64925</v>
      </c>
      <c r="E27" s="83">
        <f>+'1 pr. asignavimai'!D48</f>
        <v>57738</v>
      </c>
      <c r="F27" s="83">
        <f>+'1 pr. asignavimai'!E48</f>
        <v>-7187</v>
      </c>
      <c r="G27" s="85">
        <f t="shared" si="0"/>
        <v>88.9</v>
      </c>
      <c r="H27" s="83">
        <f>+'1 pr. asignavimai'!G48</f>
        <v>64925</v>
      </c>
      <c r="I27" s="83">
        <f>+'1 pr. asignavimai'!H48</f>
        <v>57738</v>
      </c>
      <c r="J27" s="83">
        <f>+'1 pr. asignavimai'!I48</f>
        <v>0</v>
      </c>
      <c r="K27" s="83">
        <f>+'1 pr. asignavimai'!J48</f>
        <v>0</v>
      </c>
      <c r="L27" s="83">
        <f>+'1 pr. asignavimai'!K48</f>
        <v>0</v>
      </c>
      <c r="M27" s="83">
        <f>+'1 pr. asignavimai'!L48</f>
        <v>0</v>
      </c>
    </row>
    <row r="28" spans="1:13" ht="51.6" customHeight="1" x14ac:dyDescent="0.25">
      <c r="A28" s="134"/>
      <c r="B28" s="135"/>
      <c r="C28" s="44" t="s">
        <v>182</v>
      </c>
      <c r="D28" s="83">
        <f>+'1 pr. asignavimai'!C79</f>
        <v>897868</v>
      </c>
      <c r="E28" s="83">
        <f>+'1 pr. asignavimai'!D79</f>
        <v>906685</v>
      </c>
      <c r="F28" s="83">
        <f>+'1 pr. asignavimai'!E79</f>
        <v>8817</v>
      </c>
      <c r="G28" s="85">
        <f t="shared" si="0"/>
        <v>101</v>
      </c>
      <c r="H28" s="83">
        <f>+'1 pr. asignavimai'!G79</f>
        <v>0</v>
      </c>
      <c r="I28" s="83">
        <f>+'1 pr. asignavimai'!H79</f>
        <v>0</v>
      </c>
      <c r="J28" s="83">
        <f>+'1 pr. asignavimai'!I79</f>
        <v>0</v>
      </c>
      <c r="K28" s="83">
        <f>+'1 pr. asignavimai'!J79</f>
        <v>0</v>
      </c>
      <c r="L28" s="83">
        <f>+'1 pr. asignavimai'!K79</f>
        <v>897868</v>
      </c>
      <c r="M28" s="83">
        <f>+'1 pr. asignavimai'!L79</f>
        <v>906685</v>
      </c>
    </row>
    <row r="29" spans="1:13" ht="40.5" customHeight="1" x14ac:dyDescent="0.25">
      <c r="A29" s="134"/>
      <c r="B29" s="135"/>
      <c r="C29" s="44" t="s">
        <v>9</v>
      </c>
      <c r="D29" s="83">
        <f>+'1 pr. asignavimai'!C108</f>
        <v>9291672</v>
      </c>
      <c r="E29" s="83">
        <f>+'1 pr. asignavimai'!D108</f>
        <v>9252474</v>
      </c>
      <c r="F29" s="83">
        <f>+'1 pr. asignavimai'!E108</f>
        <v>-39198</v>
      </c>
      <c r="G29" s="85">
        <f t="shared" si="0"/>
        <v>99.6</v>
      </c>
      <c r="H29" s="83">
        <f>+'1 pr. asignavimai'!G108</f>
        <v>8221030</v>
      </c>
      <c r="I29" s="83">
        <f>+'1 pr. asignavimai'!H108</f>
        <v>8197901</v>
      </c>
      <c r="J29" s="83">
        <f>+'1 pr. asignavimai'!I108</f>
        <v>1724</v>
      </c>
      <c r="K29" s="83">
        <f>+'1 pr. asignavimai'!J108</f>
        <v>1724</v>
      </c>
      <c r="L29" s="83">
        <f>+'1 pr. asignavimai'!K108</f>
        <v>1070642</v>
      </c>
      <c r="M29" s="83">
        <f>+'1 pr. asignavimai'!L108</f>
        <v>1054573</v>
      </c>
    </row>
    <row r="30" spans="1:13" ht="38.1" customHeight="1" x14ac:dyDescent="0.25">
      <c r="A30" s="134"/>
      <c r="B30" s="135"/>
      <c r="C30" s="44" t="s">
        <v>239</v>
      </c>
      <c r="D30" s="84">
        <f>SUM(D27:D29)</f>
        <v>10254465</v>
      </c>
      <c r="E30" s="84">
        <f>SUM(E27:E29)</f>
        <v>10216897</v>
      </c>
      <c r="F30" s="84">
        <f>SUM(F27:F29)</f>
        <v>-37568</v>
      </c>
      <c r="G30" s="86">
        <f t="shared" si="0"/>
        <v>99.6</v>
      </c>
      <c r="H30" s="84">
        <f t="shared" ref="H30:M30" si="4">SUM(H27:H29)</f>
        <v>8285955</v>
      </c>
      <c r="I30" s="84">
        <f t="shared" si="4"/>
        <v>8255639</v>
      </c>
      <c r="J30" s="84">
        <f t="shared" si="4"/>
        <v>1724</v>
      </c>
      <c r="K30" s="84">
        <f t="shared" si="4"/>
        <v>1724</v>
      </c>
      <c r="L30" s="84">
        <f t="shared" si="4"/>
        <v>1968510</v>
      </c>
      <c r="M30" s="84">
        <f t="shared" si="4"/>
        <v>1961258</v>
      </c>
    </row>
    <row r="31" spans="1:13" ht="30.75" customHeight="1" x14ac:dyDescent="0.25">
      <c r="A31" s="134" t="s">
        <v>247</v>
      </c>
      <c r="B31" s="135" t="s">
        <v>248</v>
      </c>
      <c r="C31" s="44" t="s">
        <v>8</v>
      </c>
      <c r="D31" s="83">
        <f>+'1 pr. asignavimai'!C49</f>
        <v>203892</v>
      </c>
      <c r="E31" s="83">
        <f>+'1 pr. asignavimai'!D49</f>
        <v>198249</v>
      </c>
      <c r="F31" s="83">
        <f>+'1 pr. asignavimai'!E49</f>
        <v>-5643</v>
      </c>
      <c r="G31" s="85">
        <f t="shared" si="0"/>
        <v>97.2</v>
      </c>
      <c r="H31" s="83">
        <f>+'1 pr. asignavimai'!G49</f>
        <v>203892</v>
      </c>
      <c r="I31" s="83">
        <f>+'1 pr. asignavimai'!H49</f>
        <v>198249</v>
      </c>
      <c r="J31" s="83">
        <f>+'1 pr. asignavimai'!I49</f>
        <v>0</v>
      </c>
      <c r="K31" s="83">
        <f>+'1 pr. asignavimai'!J49</f>
        <v>0</v>
      </c>
      <c r="L31" s="83">
        <f>+'1 pr. asignavimai'!K49</f>
        <v>0</v>
      </c>
      <c r="M31" s="83">
        <f>+'1 pr. asignavimai'!L49</f>
        <v>0</v>
      </c>
    </row>
    <row r="32" spans="1:13" ht="48.75" customHeight="1" x14ac:dyDescent="0.25">
      <c r="A32" s="134"/>
      <c r="B32" s="135"/>
      <c r="C32" s="44" t="s">
        <v>182</v>
      </c>
      <c r="D32" s="83">
        <f>+'1 pr. asignavimai'!C84</f>
        <v>76071</v>
      </c>
      <c r="E32" s="83">
        <f>+'1 pr. asignavimai'!D84</f>
        <v>6377</v>
      </c>
      <c r="F32" s="83">
        <f>+'1 pr. asignavimai'!E84</f>
        <v>-69694</v>
      </c>
      <c r="G32" s="85">
        <f t="shared" si="0"/>
        <v>8.4</v>
      </c>
      <c r="H32" s="83">
        <f>+'1 pr. asignavimai'!G84</f>
        <v>6372</v>
      </c>
      <c r="I32" s="83">
        <f>+'1 pr. asignavimai'!H84</f>
        <v>6349</v>
      </c>
      <c r="J32" s="83">
        <f>+'1 pr. asignavimai'!I84</f>
        <v>0</v>
      </c>
      <c r="K32" s="83">
        <f>+'1 pr. asignavimai'!J84</f>
        <v>0</v>
      </c>
      <c r="L32" s="83">
        <f>+'1 pr. asignavimai'!K84</f>
        <v>69699</v>
      </c>
      <c r="M32" s="83">
        <f>+'1 pr. asignavimai'!L84</f>
        <v>28</v>
      </c>
    </row>
    <row r="33" spans="1:13" ht="32.25" customHeight="1" x14ac:dyDescent="0.25">
      <c r="A33" s="134"/>
      <c r="B33" s="135"/>
      <c r="C33" s="44" t="s">
        <v>9</v>
      </c>
      <c r="D33" s="83">
        <f>+'1 pr. asignavimai'!C112</f>
        <v>9647339</v>
      </c>
      <c r="E33" s="83">
        <f>+'1 pr. asignavimai'!D112</f>
        <v>9398999</v>
      </c>
      <c r="F33" s="83">
        <f>+'1 pr. asignavimai'!E112</f>
        <v>-248340</v>
      </c>
      <c r="G33" s="85">
        <f t="shared" si="0"/>
        <v>97.4</v>
      </c>
      <c r="H33" s="83">
        <f>+'1 pr. asignavimai'!G112</f>
        <v>8869327</v>
      </c>
      <c r="I33" s="83">
        <f>+'1 pr. asignavimai'!H112</f>
        <v>8498481</v>
      </c>
      <c r="J33" s="83">
        <f>+'1 pr. asignavimai'!I112</f>
        <v>265251</v>
      </c>
      <c r="K33" s="83">
        <f>+'1 pr. asignavimai'!J112</f>
        <v>265251</v>
      </c>
      <c r="L33" s="83">
        <f>+'1 pr. asignavimai'!K112</f>
        <v>778012</v>
      </c>
      <c r="M33" s="83">
        <f>+'1 pr. asignavimai'!L112</f>
        <v>900518</v>
      </c>
    </row>
    <row r="34" spans="1:13" ht="24.6" customHeight="1" x14ac:dyDescent="0.25">
      <c r="A34" s="134"/>
      <c r="B34" s="135"/>
      <c r="C34" s="44" t="s">
        <v>239</v>
      </c>
      <c r="D34" s="84">
        <f>SUM(D31:D33)</f>
        <v>9927302</v>
      </c>
      <c r="E34" s="84">
        <f>SUM(E31:E33)</f>
        <v>9603625</v>
      </c>
      <c r="F34" s="84">
        <f>SUM(F31:F33)</f>
        <v>-323677</v>
      </c>
      <c r="G34" s="86">
        <f t="shared" si="0"/>
        <v>96.7</v>
      </c>
      <c r="H34" s="84">
        <f t="shared" ref="H34:M34" si="5">SUM(H31:H33)</f>
        <v>9079591</v>
      </c>
      <c r="I34" s="84">
        <f t="shared" si="5"/>
        <v>8703079</v>
      </c>
      <c r="J34" s="84">
        <f t="shared" si="5"/>
        <v>265251</v>
      </c>
      <c r="K34" s="84">
        <f t="shared" si="5"/>
        <v>265251</v>
      </c>
      <c r="L34" s="84">
        <f t="shared" si="5"/>
        <v>847711</v>
      </c>
      <c r="M34" s="84">
        <f t="shared" si="5"/>
        <v>900546</v>
      </c>
    </row>
    <row r="35" spans="1:13" ht="50.25" customHeight="1" x14ac:dyDescent="0.25">
      <c r="A35" s="136" t="s">
        <v>355</v>
      </c>
      <c r="B35" s="139" t="s">
        <v>249</v>
      </c>
      <c r="C35" s="65" t="s">
        <v>182</v>
      </c>
      <c r="D35" s="83">
        <f>+'1 pr. asignavimai'!C85</f>
        <v>9000</v>
      </c>
      <c r="E35" s="83">
        <f>+'1 pr. asignavimai'!D85</f>
        <v>0</v>
      </c>
      <c r="F35" s="83">
        <f>+'1 pr. asignavimai'!E85</f>
        <v>-9000</v>
      </c>
      <c r="G35" s="85">
        <f t="shared" si="0"/>
        <v>0</v>
      </c>
      <c r="H35" s="83">
        <f>+'1 pr. asignavimai'!G85</f>
        <v>0</v>
      </c>
      <c r="I35" s="83">
        <f>+'1 pr. asignavimai'!H85</f>
        <v>0</v>
      </c>
      <c r="J35" s="83">
        <f>+'1 pr. asignavimai'!I85</f>
        <v>0</v>
      </c>
      <c r="K35" s="83">
        <f>+'1 pr. asignavimai'!J85</f>
        <v>0</v>
      </c>
      <c r="L35" s="83">
        <f>+'1 pr. asignavimai'!K85</f>
        <v>9000</v>
      </c>
      <c r="M35" s="83">
        <f>+'1 pr. asignavimai'!L85</f>
        <v>0</v>
      </c>
    </row>
    <row r="36" spans="1:13" ht="37.5" customHeight="1" x14ac:dyDescent="0.25">
      <c r="A36" s="137"/>
      <c r="B36" s="140"/>
      <c r="C36" s="44" t="s">
        <v>9</v>
      </c>
      <c r="D36" s="83">
        <f>+'1 pr. asignavimai'!C117</f>
        <v>103211</v>
      </c>
      <c r="E36" s="83">
        <f>+'1 pr. asignavimai'!D117</f>
        <v>103211</v>
      </c>
      <c r="F36" s="83">
        <f>+'1 pr. asignavimai'!E117</f>
        <v>0</v>
      </c>
      <c r="G36" s="85">
        <f t="shared" si="0"/>
        <v>100</v>
      </c>
      <c r="H36" s="83">
        <f>+'1 pr. asignavimai'!G117</f>
        <v>5792</v>
      </c>
      <c r="I36" s="83">
        <f>+'1 pr. asignavimai'!H117</f>
        <v>5792</v>
      </c>
      <c r="J36" s="83">
        <f>+'1 pr. asignavimai'!I117</f>
        <v>0</v>
      </c>
      <c r="K36" s="83">
        <f>+'1 pr. asignavimai'!J117</f>
        <v>0</v>
      </c>
      <c r="L36" s="83">
        <f>+'1 pr. asignavimai'!K117</f>
        <v>97419</v>
      </c>
      <c r="M36" s="83">
        <f>+'1 pr. asignavimai'!L117</f>
        <v>97419</v>
      </c>
    </row>
    <row r="37" spans="1:13" ht="50.25" customHeight="1" x14ac:dyDescent="0.25">
      <c r="A37" s="137"/>
      <c r="B37" s="140"/>
      <c r="C37" s="44" t="s">
        <v>10</v>
      </c>
      <c r="D37" s="83">
        <f>+'1 pr. asignavimai'!C125</f>
        <v>3811362</v>
      </c>
      <c r="E37" s="83">
        <f>+'1 pr. asignavimai'!D125</f>
        <v>3806138</v>
      </c>
      <c r="F37" s="83">
        <f>+'1 pr. asignavimai'!E125</f>
        <v>-5224</v>
      </c>
      <c r="G37" s="85">
        <f t="shared" si="0"/>
        <v>99.9</v>
      </c>
      <c r="H37" s="83">
        <f>+'1 pr. asignavimai'!G125</f>
        <v>3740902</v>
      </c>
      <c r="I37" s="83">
        <f>+'1 pr. asignavimai'!H125</f>
        <v>3724522</v>
      </c>
      <c r="J37" s="83">
        <f>+'1 pr. asignavimai'!I125</f>
        <v>1706059</v>
      </c>
      <c r="K37" s="83">
        <f>+'1 pr. asignavimai'!J125</f>
        <v>1704036</v>
      </c>
      <c r="L37" s="83">
        <f>+'1 pr. asignavimai'!K125</f>
        <v>70460</v>
      </c>
      <c r="M37" s="83">
        <f>+'1 pr. asignavimai'!L125</f>
        <v>81616</v>
      </c>
    </row>
    <row r="38" spans="1:13" ht="22.5" customHeight="1" x14ac:dyDescent="0.25">
      <c r="A38" s="138"/>
      <c r="B38" s="141"/>
      <c r="C38" s="44" t="s">
        <v>239</v>
      </c>
      <c r="D38" s="84">
        <f>SUM(D35:D37)</f>
        <v>3923573</v>
      </c>
      <c r="E38" s="84">
        <f>SUM(E35:E37)</f>
        <v>3909349</v>
      </c>
      <c r="F38" s="84">
        <f>SUM(F35:F37)</f>
        <v>-14224</v>
      </c>
      <c r="G38" s="86">
        <f t="shared" si="0"/>
        <v>99.6</v>
      </c>
      <c r="H38" s="84">
        <f t="shared" ref="H38:M38" si="6">SUM(H35:H37)</f>
        <v>3746694</v>
      </c>
      <c r="I38" s="84">
        <f t="shared" si="6"/>
        <v>3730314</v>
      </c>
      <c r="J38" s="84">
        <f t="shared" si="6"/>
        <v>1706059</v>
      </c>
      <c r="K38" s="84">
        <f t="shared" si="6"/>
        <v>1704036</v>
      </c>
      <c r="L38" s="84">
        <f t="shared" si="6"/>
        <v>176879</v>
      </c>
      <c r="M38" s="84">
        <f t="shared" si="6"/>
        <v>179035</v>
      </c>
    </row>
    <row r="39" spans="1:13" ht="36.75" customHeight="1" x14ac:dyDescent="0.25">
      <c r="A39" s="45" t="s">
        <v>250</v>
      </c>
      <c r="B39" s="26" t="s">
        <v>251</v>
      </c>
      <c r="C39" s="44" t="s">
        <v>8</v>
      </c>
      <c r="D39" s="84">
        <f>+'1 pr. asignavimai'!C50</f>
        <v>34754</v>
      </c>
      <c r="E39" s="84">
        <f>+'1 pr. asignavimai'!D50</f>
        <v>30472</v>
      </c>
      <c r="F39" s="84">
        <f>+'1 pr. asignavimai'!E50</f>
        <v>-4282</v>
      </c>
      <c r="G39" s="86">
        <f t="shared" si="0"/>
        <v>87.7</v>
      </c>
      <c r="H39" s="84">
        <f>+'1 pr. asignavimai'!G50</f>
        <v>34754</v>
      </c>
      <c r="I39" s="84">
        <f>+'1 pr. asignavimai'!H50</f>
        <v>30472</v>
      </c>
      <c r="J39" s="84">
        <f>+'1 pr. asignavimai'!I50</f>
        <v>0</v>
      </c>
      <c r="K39" s="84">
        <f>+'1 pr. asignavimai'!J50</f>
        <v>0</v>
      </c>
      <c r="L39" s="84">
        <f>+'1 pr. asignavimai'!K50</f>
        <v>0</v>
      </c>
      <c r="M39" s="84">
        <f>+'1 pr. asignavimai'!L50</f>
        <v>0</v>
      </c>
    </row>
    <row r="40" spans="1:13" ht="51" customHeight="1" x14ac:dyDescent="0.25">
      <c r="A40" s="134" t="s">
        <v>252</v>
      </c>
      <c r="B40" s="135" t="s">
        <v>215</v>
      </c>
      <c r="C40" s="44" t="s">
        <v>182</v>
      </c>
      <c r="D40" s="83">
        <f>+'1 pr. asignavimai'!C86</f>
        <v>967743</v>
      </c>
      <c r="E40" s="83">
        <f>+'1 pr. asignavimai'!D86</f>
        <v>926435</v>
      </c>
      <c r="F40" s="83">
        <f>+'1 pr. asignavimai'!E86</f>
        <v>-41308</v>
      </c>
      <c r="G40" s="85">
        <f t="shared" si="0"/>
        <v>95.7</v>
      </c>
      <c r="H40" s="83">
        <f>+'1 pr. asignavimai'!G86</f>
        <v>325712</v>
      </c>
      <c r="I40" s="83">
        <f>+'1 pr. asignavimai'!H86</f>
        <v>292146</v>
      </c>
      <c r="J40" s="83">
        <f>+'1 pr. asignavimai'!I86</f>
        <v>1850</v>
      </c>
      <c r="K40" s="83">
        <f>+'1 pr. asignavimai'!J86</f>
        <v>1300</v>
      </c>
      <c r="L40" s="83">
        <f>+'1 pr. asignavimai'!K86</f>
        <v>642031</v>
      </c>
      <c r="M40" s="83">
        <f>+'1 pr. asignavimai'!L86</f>
        <v>634289</v>
      </c>
    </row>
    <row r="41" spans="1:13" ht="31.5" x14ac:dyDescent="0.25">
      <c r="A41" s="134"/>
      <c r="B41" s="135"/>
      <c r="C41" s="44" t="s">
        <v>9</v>
      </c>
      <c r="D41" s="83">
        <f>+'1 pr. asignavimai'!C118</f>
        <v>1585364</v>
      </c>
      <c r="E41" s="83">
        <f>+'1 pr. asignavimai'!D118</f>
        <v>1537793</v>
      </c>
      <c r="F41" s="83">
        <f>+'1 pr. asignavimai'!E118</f>
        <v>-47571</v>
      </c>
      <c r="G41" s="85">
        <f t="shared" si="0"/>
        <v>97</v>
      </c>
      <c r="H41" s="83">
        <f>+'1 pr. asignavimai'!G118</f>
        <v>1456575</v>
      </c>
      <c r="I41" s="83">
        <f>+'1 pr. asignavimai'!H118</f>
        <v>1409096</v>
      </c>
      <c r="J41" s="83">
        <f>+'1 pr. asignavimai'!I118</f>
        <v>0</v>
      </c>
      <c r="K41" s="83">
        <f>+'1 pr. asignavimai'!J118</f>
        <v>0</v>
      </c>
      <c r="L41" s="83">
        <f>+'1 pr. asignavimai'!K118</f>
        <v>128789</v>
      </c>
      <c r="M41" s="83">
        <f>+'1 pr. asignavimai'!L118</f>
        <v>128697</v>
      </c>
    </row>
    <row r="42" spans="1:13" ht="47.25" customHeight="1" x14ac:dyDescent="0.25">
      <c r="A42" s="134"/>
      <c r="B42" s="135"/>
      <c r="C42" s="44" t="s">
        <v>10</v>
      </c>
      <c r="D42" s="83">
        <f>+'1 pr. asignavimai'!C131</f>
        <v>58998331</v>
      </c>
      <c r="E42" s="83">
        <f>+'1 pr. asignavimai'!D131</f>
        <v>59025099</v>
      </c>
      <c r="F42" s="83">
        <f>+'1 pr. asignavimai'!E131</f>
        <v>26768</v>
      </c>
      <c r="G42" s="85">
        <f t="shared" si="0"/>
        <v>100</v>
      </c>
      <c r="H42" s="83">
        <f>+'1 pr. asignavimai'!G131</f>
        <v>58717297</v>
      </c>
      <c r="I42" s="83">
        <f>+'1 pr. asignavimai'!H131</f>
        <v>58670664</v>
      </c>
      <c r="J42" s="83">
        <f>+'1 pr. asignavimai'!I131</f>
        <v>38677337</v>
      </c>
      <c r="K42" s="83">
        <f>+'1 pr. asignavimai'!J131</f>
        <v>38654390</v>
      </c>
      <c r="L42" s="83">
        <f>+'1 pr. asignavimai'!K131</f>
        <v>281034</v>
      </c>
      <c r="M42" s="83">
        <f>+'1 pr. asignavimai'!L131</f>
        <v>354435</v>
      </c>
    </row>
    <row r="43" spans="1:13" ht="26.25" customHeight="1" x14ac:dyDescent="0.25">
      <c r="A43" s="134"/>
      <c r="B43" s="135"/>
      <c r="C43" s="44" t="s">
        <v>239</v>
      </c>
      <c r="D43" s="84">
        <f>SUM(D40:D42)</f>
        <v>61551438</v>
      </c>
      <c r="E43" s="84">
        <f>SUM(E40:E42)</f>
        <v>61489327</v>
      </c>
      <c r="F43" s="84">
        <f>SUM(F40:F42)</f>
        <v>-62111</v>
      </c>
      <c r="G43" s="86">
        <f t="shared" si="0"/>
        <v>99.9</v>
      </c>
      <c r="H43" s="84">
        <f t="shared" ref="H43:M43" si="7">SUM(H40:H42)</f>
        <v>60499584</v>
      </c>
      <c r="I43" s="84">
        <f t="shared" si="7"/>
        <v>60371906</v>
      </c>
      <c r="J43" s="84">
        <f t="shared" si="7"/>
        <v>38679187</v>
      </c>
      <c r="K43" s="84">
        <f t="shared" si="7"/>
        <v>38655690</v>
      </c>
      <c r="L43" s="84">
        <f t="shared" si="7"/>
        <v>1051854</v>
      </c>
      <c r="M43" s="84">
        <f t="shared" si="7"/>
        <v>1117421</v>
      </c>
    </row>
    <row r="44" spans="1:13" ht="46.5" customHeight="1" x14ac:dyDescent="0.25">
      <c r="A44" s="134" t="s">
        <v>253</v>
      </c>
      <c r="B44" s="135" t="s">
        <v>220</v>
      </c>
      <c r="C44" s="44" t="s">
        <v>182</v>
      </c>
      <c r="D44" s="83">
        <f>+'1 pr. asignavimai'!C90</f>
        <v>1009377</v>
      </c>
      <c r="E44" s="83">
        <f>+'1 pr. asignavimai'!D90</f>
        <v>588398</v>
      </c>
      <c r="F44" s="83">
        <f>+'1 pr. asignavimai'!E90</f>
        <v>-420979</v>
      </c>
      <c r="G44" s="85">
        <f t="shared" si="0"/>
        <v>58.3</v>
      </c>
      <c r="H44" s="83">
        <f>+'1 pr. asignavimai'!G90</f>
        <v>0</v>
      </c>
      <c r="I44" s="83">
        <f>+'1 pr. asignavimai'!H90</f>
        <v>0</v>
      </c>
      <c r="J44" s="83">
        <f>+'1 pr. asignavimai'!I90</f>
        <v>0</v>
      </c>
      <c r="K44" s="83">
        <f>+'1 pr. asignavimai'!J90</f>
        <v>0</v>
      </c>
      <c r="L44" s="83">
        <f>+'1 pr. asignavimai'!K90</f>
        <v>1009377</v>
      </c>
      <c r="M44" s="83">
        <f>+'1 pr. asignavimai'!L90</f>
        <v>588398</v>
      </c>
    </row>
    <row r="45" spans="1:13" ht="38.25" customHeight="1" x14ac:dyDescent="0.25">
      <c r="A45" s="134"/>
      <c r="B45" s="135"/>
      <c r="C45" s="44" t="s">
        <v>9</v>
      </c>
      <c r="D45" s="83">
        <f>+'1 pr. asignavimai'!C122</f>
        <v>214827</v>
      </c>
      <c r="E45" s="83">
        <f>+'1 pr. asignavimai'!D122</f>
        <v>214817</v>
      </c>
      <c r="F45" s="83">
        <f>+'1 pr. asignavimai'!E122</f>
        <v>-10</v>
      </c>
      <c r="G45" s="85">
        <f t="shared" si="0"/>
        <v>100</v>
      </c>
      <c r="H45" s="83">
        <f>+'1 pr. asignavimai'!G122</f>
        <v>49370</v>
      </c>
      <c r="I45" s="83">
        <f>+'1 pr. asignavimai'!H122</f>
        <v>49360</v>
      </c>
      <c r="J45" s="83">
        <f>+'1 pr. asignavimai'!I122</f>
        <v>0</v>
      </c>
      <c r="K45" s="83">
        <f>+'1 pr. asignavimai'!J122</f>
        <v>0</v>
      </c>
      <c r="L45" s="83">
        <f>+'1 pr. asignavimai'!K122</f>
        <v>165457</v>
      </c>
      <c r="M45" s="83">
        <f>+'1 pr. asignavimai'!L122</f>
        <v>165457</v>
      </c>
    </row>
    <row r="46" spans="1:13" ht="46.5" customHeight="1" x14ac:dyDescent="0.25">
      <c r="A46" s="134"/>
      <c r="B46" s="135"/>
      <c r="C46" s="44" t="s">
        <v>10</v>
      </c>
      <c r="D46" s="83">
        <f>+'1 pr. asignavimai'!C140</f>
        <v>5043409</v>
      </c>
      <c r="E46" s="83">
        <f>+'1 pr. asignavimai'!D140</f>
        <v>4969535</v>
      </c>
      <c r="F46" s="83">
        <f>+'1 pr. asignavimai'!E140</f>
        <v>-73874</v>
      </c>
      <c r="G46" s="85">
        <f t="shared" si="0"/>
        <v>98.5</v>
      </c>
      <c r="H46" s="83">
        <f>+'1 pr. asignavimai'!G140</f>
        <v>4803652</v>
      </c>
      <c r="I46" s="83">
        <f>+'1 pr. asignavimai'!H140</f>
        <v>4817444</v>
      </c>
      <c r="J46" s="83">
        <f>+'1 pr. asignavimai'!I140</f>
        <v>1970929</v>
      </c>
      <c r="K46" s="83">
        <f>+'1 pr. asignavimai'!J140</f>
        <v>1970925</v>
      </c>
      <c r="L46" s="83">
        <f>+'1 pr. asignavimai'!K140</f>
        <v>239757</v>
      </c>
      <c r="M46" s="83">
        <f>+'1 pr. asignavimai'!L140</f>
        <v>152091</v>
      </c>
    </row>
    <row r="47" spans="1:13" ht="25.5" customHeight="1" x14ac:dyDescent="0.25">
      <c r="A47" s="134"/>
      <c r="B47" s="135"/>
      <c r="C47" s="44" t="s">
        <v>239</v>
      </c>
      <c r="D47" s="84">
        <f>SUM(D44:D46)</f>
        <v>6267613</v>
      </c>
      <c r="E47" s="84">
        <f>SUM(E44:E46)</f>
        <v>5772750</v>
      </c>
      <c r="F47" s="84">
        <f>SUM(F44:F46)</f>
        <v>-494863</v>
      </c>
      <c r="G47" s="86">
        <f t="shared" si="0"/>
        <v>92.1</v>
      </c>
      <c r="H47" s="84">
        <f t="shared" ref="H47:M47" si="8">SUM(H44:H46)</f>
        <v>4853022</v>
      </c>
      <c r="I47" s="84">
        <f t="shared" si="8"/>
        <v>4866804</v>
      </c>
      <c r="J47" s="84">
        <f t="shared" si="8"/>
        <v>1970929</v>
      </c>
      <c r="K47" s="84">
        <f t="shared" si="8"/>
        <v>1970925</v>
      </c>
      <c r="L47" s="84">
        <f t="shared" si="8"/>
        <v>1414591</v>
      </c>
      <c r="M47" s="84">
        <f t="shared" si="8"/>
        <v>905946</v>
      </c>
    </row>
    <row r="48" spans="1:13" ht="34.5" customHeight="1" x14ac:dyDescent="0.25">
      <c r="A48" s="134" t="s">
        <v>254</v>
      </c>
      <c r="B48" s="135" t="s">
        <v>223</v>
      </c>
      <c r="C48" s="44" t="s">
        <v>8</v>
      </c>
      <c r="D48" s="83">
        <f>+'1 pr. asignavimai'!C51</f>
        <v>521316</v>
      </c>
      <c r="E48" s="83">
        <f>+'1 pr. asignavimai'!D51</f>
        <v>396500</v>
      </c>
      <c r="F48" s="83">
        <f>+'1 pr. asignavimai'!E51</f>
        <v>-124816</v>
      </c>
      <c r="G48" s="85">
        <f>+'1 pr. asignavimai'!F51</f>
        <v>76.099999999999994</v>
      </c>
      <c r="H48" s="83">
        <f>+'1 pr. asignavimai'!G51</f>
        <v>0</v>
      </c>
      <c r="I48" s="83">
        <f>+'1 pr. asignavimai'!H51</f>
        <v>0</v>
      </c>
      <c r="J48" s="83">
        <f>+'1 pr. asignavimai'!I51</f>
        <v>0</v>
      </c>
      <c r="K48" s="83">
        <f>+'1 pr. asignavimai'!J51</f>
        <v>0</v>
      </c>
      <c r="L48" s="83">
        <f>+'1 pr. asignavimai'!K51</f>
        <v>521316</v>
      </c>
      <c r="M48" s="83">
        <f>+'1 pr. asignavimai'!L51</f>
        <v>396500</v>
      </c>
    </row>
    <row r="49" spans="1:13" ht="50.25" customHeight="1" x14ac:dyDescent="0.25">
      <c r="A49" s="134"/>
      <c r="B49" s="135"/>
      <c r="C49" s="44" t="s">
        <v>182</v>
      </c>
      <c r="D49" s="83">
        <f>+'1 pr. asignavimai'!C95</f>
        <v>226349</v>
      </c>
      <c r="E49" s="83">
        <f>+'1 pr. asignavimai'!D95</f>
        <v>161054</v>
      </c>
      <c r="F49" s="83">
        <f>+'1 pr. asignavimai'!E95</f>
        <v>-65295</v>
      </c>
      <c r="G49" s="85">
        <f>+'1 pr. asignavimai'!F95</f>
        <v>71.2</v>
      </c>
      <c r="H49" s="83">
        <f>+'1 pr. asignavimai'!G95</f>
        <v>17104</v>
      </c>
      <c r="I49" s="83">
        <f>+'1 pr. asignavimai'!H95</f>
        <v>10870</v>
      </c>
      <c r="J49" s="83">
        <f>+'1 pr. asignavimai'!I95</f>
        <v>552</v>
      </c>
      <c r="K49" s="83">
        <f>+'1 pr. asignavimai'!J95</f>
        <v>488</v>
      </c>
      <c r="L49" s="83">
        <f>+'1 pr. asignavimai'!K95</f>
        <v>209245</v>
      </c>
      <c r="M49" s="83">
        <f>+'1 pr. asignavimai'!L95</f>
        <v>150184</v>
      </c>
    </row>
    <row r="50" spans="1:13" ht="31.5" x14ac:dyDescent="0.25">
      <c r="A50" s="134"/>
      <c r="B50" s="135"/>
      <c r="C50" s="44" t="s">
        <v>9</v>
      </c>
      <c r="D50" s="83">
        <f>+'1 pr. asignavimai'!C123</f>
        <v>106360</v>
      </c>
      <c r="E50" s="83">
        <f>+'1 pr. asignavimai'!D123</f>
        <v>84759</v>
      </c>
      <c r="F50" s="83">
        <f>+'1 pr. asignavimai'!E123</f>
        <v>-21601</v>
      </c>
      <c r="G50" s="85">
        <f>+'1 pr. asignavimai'!F123</f>
        <v>79.7</v>
      </c>
      <c r="H50" s="83">
        <f>+'1 pr. asignavimai'!G123</f>
        <v>46838</v>
      </c>
      <c r="I50" s="83">
        <f>+'1 pr. asignavimai'!H123</f>
        <v>45097</v>
      </c>
      <c r="J50" s="83">
        <f>+'1 pr. asignavimai'!I123</f>
        <v>0</v>
      </c>
      <c r="K50" s="83">
        <f>+'1 pr. asignavimai'!J123</f>
        <v>0</v>
      </c>
      <c r="L50" s="83">
        <f>+'1 pr. asignavimai'!K123</f>
        <v>59522</v>
      </c>
      <c r="M50" s="83">
        <f>+'1 pr. asignavimai'!L123</f>
        <v>39662</v>
      </c>
    </row>
    <row r="51" spans="1:13" ht="38.25" customHeight="1" x14ac:dyDescent="0.25">
      <c r="A51" s="134"/>
      <c r="B51" s="135"/>
      <c r="C51" s="44" t="s">
        <v>100</v>
      </c>
      <c r="D51" s="83">
        <f>+'1 pr. asignavimai'!C146</f>
        <v>14736631</v>
      </c>
      <c r="E51" s="83">
        <f>+'1 pr. asignavimai'!D146</f>
        <v>11219076</v>
      </c>
      <c r="F51" s="83">
        <f>+'1 pr. asignavimai'!E146</f>
        <v>-3517555</v>
      </c>
      <c r="G51" s="85">
        <f>+'1 pr. asignavimai'!F146</f>
        <v>76.099999999999994</v>
      </c>
      <c r="H51" s="83">
        <f>+'1 pr. asignavimai'!G146</f>
        <v>14640268</v>
      </c>
      <c r="I51" s="83">
        <f>+'1 pr. asignavimai'!H146</f>
        <v>11163622</v>
      </c>
      <c r="J51" s="83">
        <f>+'1 pr. asignavimai'!I146</f>
        <v>2883883</v>
      </c>
      <c r="K51" s="83">
        <f>+'1 pr. asignavimai'!J146</f>
        <v>2714334</v>
      </c>
      <c r="L51" s="83">
        <f>+'1 pr. asignavimai'!K146</f>
        <v>96363</v>
      </c>
      <c r="M51" s="83">
        <f>+'1 pr. asignavimai'!L146</f>
        <v>55454</v>
      </c>
    </row>
    <row r="52" spans="1:13" ht="19.5" customHeight="1" x14ac:dyDescent="0.25">
      <c r="A52" s="134"/>
      <c r="B52" s="135"/>
      <c r="C52" s="44" t="s">
        <v>239</v>
      </c>
      <c r="D52" s="84">
        <f>SUM(D48:D51)</f>
        <v>15590656</v>
      </c>
      <c r="E52" s="84">
        <f>SUM(E48:E51)</f>
        <v>11861389</v>
      </c>
      <c r="F52" s="84">
        <f>SUM(F48:F51)</f>
        <v>-3729267</v>
      </c>
      <c r="G52" s="86">
        <f t="shared" si="0"/>
        <v>76.099999999999994</v>
      </c>
      <c r="H52" s="84">
        <f t="shared" ref="H52:M52" si="9">SUM(H48:H51)</f>
        <v>14704210</v>
      </c>
      <c r="I52" s="84">
        <f t="shared" si="9"/>
        <v>11219589</v>
      </c>
      <c r="J52" s="84">
        <f t="shared" si="9"/>
        <v>2884435</v>
      </c>
      <c r="K52" s="84">
        <f t="shared" si="9"/>
        <v>2714822</v>
      </c>
      <c r="L52" s="84">
        <f t="shared" si="9"/>
        <v>886446</v>
      </c>
      <c r="M52" s="84">
        <f t="shared" si="9"/>
        <v>641800</v>
      </c>
    </row>
    <row r="53" spans="1:13" ht="47.25" x14ac:dyDescent="0.25">
      <c r="A53" s="134" t="s">
        <v>255</v>
      </c>
      <c r="B53" s="135" t="s">
        <v>256</v>
      </c>
      <c r="C53" s="44" t="s">
        <v>182</v>
      </c>
      <c r="D53" s="83">
        <f>+'1 pr. asignavimai'!C99</f>
        <v>288140</v>
      </c>
      <c r="E53" s="83">
        <f>+'1 pr. asignavimai'!D99</f>
        <v>288140</v>
      </c>
      <c r="F53" s="83">
        <f>+'1 pr. asignavimai'!E99</f>
        <v>0</v>
      </c>
      <c r="G53" s="85">
        <f t="shared" si="0"/>
        <v>100</v>
      </c>
      <c r="H53" s="83">
        <f>+'1 pr. asignavimai'!G99</f>
        <v>0</v>
      </c>
      <c r="I53" s="83">
        <f>+'1 pr. asignavimai'!H99</f>
        <v>0</v>
      </c>
      <c r="J53" s="83">
        <f>+'1 pr. asignavimai'!I99</f>
        <v>0</v>
      </c>
      <c r="K53" s="83">
        <f>+'1 pr. asignavimai'!J99</f>
        <v>0</v>
      </c>
      <c r="L53" s="83">
        <f>+'1 pr. asignavimai'!K99</f>
        <v>288140</v>
      </c>
      <c r="M53" s="83">
        <f>+'1 pr. asignavimai'!L99</f>
        <v>288140</v>
      </c>
    </row>
    <row r="54" spans="1:13" ht="31.5" x14ac:dyDescent="0.25">
      <c r="A54" s="134"/>
      <c r="B54" s="135"/>
      <c r="C54" s="44" t="s">
        <v>100</v>
      </c>
      <c r="D54" s="83">
        <f>+'1 pr. asignavimai'!C160</f>
        <v>1465804</v>
      </c>
      <c r="E54" s="83">
        <f>+'1 pr. asignavimai'!D160</f>
        <v>1464443</v>
      </c>
      <c r="F54" s="83">
        <f>+'1 pr. asignavimai'!E160</f>
        <v>-1361</v>
      </c>
      <c r="G54" s="85">
        <f t="shared" si="0"/>
        <v>99.9</v>
      </c>
      <c r="H54" s="83">
        <f>+'1 pr. asignavimai'!G160</f>
        <v>1445907</v>
      </c>
      <c r="I54" s="83">
        <f>+'1 pr. asignavimai'!H160</f>
        <v>1444546</v>
      </c>
      <c r="J54" s="83">
        <f>+'1 pr. asignavimai'!I160</f>
        <v>808224</v>
      </c>
      <c r="K54" s="83">
        <f>+'1 pr. asignavimai'!J160</f>
        <v>798971</v>
      </c>
      <c r="L54" s="83">
        <f>+'1 pr. asignavimai'!K160</f>
        <v>19897</v>
      </c>
      <c r="M54" s="83">
        <f>+'1 pr. asignavimai'!L160</f>
        <v>19897</v>
      </c>
    </row>
    <row r="55" spans="1:13" ht="17.25" customHeight="1" x14ac:dyDescent="0.25">
      <c r="A55" s="134"/>
      <c r="B55" s="135"/>
      <c r="C55" s="44" t="s">
        <v>239</v>
      </c>
      <c r="D55" s="84">
        <f>+D53+D54</f>
        <v>1753944</v>
      </c>
      <c r="E55" s="84">
        <f>+E53+E54</f>
        <v>1752583</v>
      </c>
      <c r="F55" s="84">
        <f>+F53+F54</f>
        <v>-1361</v>
      </c>
      <c r="G55" s="86">
        <f t="shared" si="0"/>
        <v>99.9</v>
      </c>
      <c r="H55" s="84">
        <f t="shared" ref="H55:M55" si="10">+H53+H54</f>
        <v>1445907</v>
      </c>
      <c r="I55" s="84">
        <f t="shared" si="10"/>
        <v>1444546</v>
      </c>
      <c r="J55" s="84">
        <f t="shared" si="10"/>
        <v>808224</v>
      </c>
      <c r="K55" s="84">
        <f t="shared" si="10"/>
        <v>798971</v>
      </c>
      <c r="L55" s="84">
        <f t="shared" si="10"/>
        <v>308037</v>
      </c>
      <c r="M55" s="84">
        <f t="shared" si="10"/>
        <v>308037</v>
      </c>
    </row>
    <row r="56" spans="1:13" ht="19.5" customHeight="1" x14ac:dyDescent="0.25">
      <c r="A56" s="49" t="s">
        <v>257</v>
      </c>
      <c r="B56" s="27" t="s">
        <v>258</v>
      </c>
      <c r="C56" s="12"/>
      <c r="D56" s="84">
        <f>+D17+D18+D22+D23+D26+D30+D34+D38+D43+D47+D52+D55+D39</f>
        <v>135707790</v>
      </c>
      <c r="E56" s="84">
        <f>+E17+E18+E22+E23+E26+E30+E34+E38+E43+E47+E52+E55+E39</f>
        <v>130109702</v>
      </c>
      <c r="F56" s="84">
        <f>+F17+F18+F22+F23+F26+F30+F34+F38+F43+F47+F52+F55+F39</f>
        <v>-5598088</v>
      </c>
      <c r="G56" s="86">
        <f t="shared" si="0"/>
        <v>95.9</v>
      </c>
      <c r="H56" s="84">
        <f t="shared" ref="H56:M56" si="11">+H17+H18+H22+H23+H26+H30+H34+H38+H43+H47+H52+H55+H39</f>
        <v>117889325</v>
      </c>
      <c r="I56" s="84">
        <f t="shared" si="11"/>
        <v>112909414</v>
      </c>
      <c r="J56" s="84">
        <f t="shared" si="11"/>
        <v>50639133</v>
      </c>
      <c r="K56" s="84">
        <f t="shared" si="11"/>
        <v>50405865</v>
      </c>
      <c r="L56" s="84">
        <f t="shared" si="11"/>
        <v>17818465</v>
      </c>
      <c r="M56" s="84">
        <f t="shared" si="11"/>
        <v>17200288</v>
      </c>
    </row>
    <row r="58" spans="1:13" x14ac:dyDescent="0.2">
      <c r="B58" s="94"/>
      <c r="C58" s="94"/>
      <c r="D58" s="25"/>
      <c r="E58" s="25"/>
      <c r="F58" s="25"/>
      <c r="G58" s="25"/>
      <c r="H58" s="25"/>
      <c r="I58" s="25"/>
      <c r="J58" s="25"/>
      <c r="K58" s="25"/>
    </row>
    <row r="59" spans="1:13" x14ac:dyDescent="0.2">
      <c r="B59" s="94"/>
      <c r="C59" s="94"/>
      <c r="D59" s="94"/>
    </row>
  </sheetData>
  <autoFilter ref="C1:C59"/>
  <mergeCells count="36">
    <mergeCell ref="A53:A55"/>
    <mergeCell ref="B53:B55"/>
    <mergeCell ref="A40:A43"/>
    <mergeCell ref="B40:B43"/>
    <mergeCell ref="A44:A47"/>
    <mergeCell ref="B44:B47"/>
    <mergeCell ref="A48:A52"/>
    <mergeCell ref="B48:B52"/>
    <mergeCell ref="A14:A17"/>
    <mergeCell ref="B14:B17"/>
    <mergeCell ref="A19:A22"/>
    <mergeCell ref="B19:B22"/>
    <mergeCell ref="A24:A26"/>
    <mergeCell ref="B24:B26"/>
    <mergeCell ref="A27:A30"/>
    <mergeCell ref="B27:B30"/>
    <mergeCell ref="A31:A34"/>
    <mergeCell ref="B31:B34"/>
    <mergeCell ref="A35:A38"/>
    <mergeCell ref="B35:B38"/>
    <mergeCell ref="A9:A12"/>
    <mergeCell ref="B5:M6"/>
    <mergeCell ref="C9:C12"/>
    <mergeCell ref="B9:B12"/>
    <mergeCell ref="D9:D12"/>
    <mergeCell ref="E9:E12"/>
    <mergeCell ref="F9:F12"/>
    <mergeCell ref="G9:G12"/>
    <mergeCell ref="H9:M9"/>
    <mergeCell ref="H10:K10"/>
    <mergeCell ref="L10:M10"/>
    <mergeCell ref="H11:H12"/>
    <mergeCell ref="I11:I12"/>
    <mergeCell ref="J11:K11"/>
    <mergeCell ref="L11:L12"/>
    <mergeCell ref="M11:M12"/>
  </mergeCells>
  <pageMargins left="0.9055118110236221" right="0.51181102362204722" top="0.74803149606299213" bottom="0.78740157480314965" header="0.31496062992125984" footer="0.31496062992125984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showZeros="0" topLeftCell="A10" zoomScale="115" zoomScaleNormal="115" workbookViewId="0">
      <selection activeCell="H12" sqref="H12:H13"/>
    </sheetView>
  </sheetViews>
  <sheetFormatPr defaultColWidth="10.140625" defaultRowHeight="15.75" x14ac:dyDescent="0.25"/>
  <cols>
    <col min="1" max="1" width="6" style="33" customWidth="1"/>
    <col min="2" max="2" width="51.140625" customWidth="1"/>
    <col min="3" max="3" width="13.42578125" customWidth="1"/>
    <col min="4" max="4" width="11.7109375" customWidth="1"/>
    <col min="5" max="5" width="12.140625" customWidth="1"/>
    <col min="6" max="6" width="11.85546875" customWidth="1"/>
    <col min="252" max="252" width="6" customWidth="1"/>
    <col min="253" max="253" width="54.28515625" customWidth="1"/>
    <col min="254" max="254" width="15.140625" customWidth="1"/>
    <col min="255" max="255" width="10.85546875" customWidth="1"/>
    <col min="256" max="256" width="11.140625" customWidth="1"/>
    <col min="508" max="508" width="6" customWidth="1"/>
    <col min="509" max="509" width="54.28515625" customWidth="1"/>
    <col min="510" max="510" width="15.140625" customWidth="1"/>
    <col min="511" max="511" width="10.85546875" customWidth="1"/>
    <col min="512" max="512" width="11.140625" customWidth="1"/>
    <col min="764" max="764" width="6" customWidth="1"/>
    <col min="765" max="765" width="54.28515625" customWidth="1"/>
    <col min="766" max="766" width="15.140625" customWidth="1"/>
    <col min="767" max="767" width="10.85546875" customWidth="1"/>
    <col min="768" max="768" width="11.140625" customWidth="1"/>
    <col min="1020" max="1020" width="6" customWidth="1"/>
    <col min="1021" max="1021" width="54.28515625" customWidth="1"/>
    <col min="1022" max="1022" width="15.140625" customWidth="1"/>
    <col min="1023" max="1023" width="10.85546875" customWidth="1"/>
    <col min="1024" max="1024" width="11.140625" customWidth="1"/>
    <col min="1276" max="1276" width="6" customWidth="1"/>
    <col min="1277" max="1277" width="54.28515625" customWidth="1"/>
    <col min="1278" max="1278" width="15.140625" customWidth="1"/>
    <col min="1279" max="1279" width="10.85546875" customWidth="1"/>
    <col min="1280" max="1280" width="11.140625" customWidth="1"/>
    <col min="1532" max="1532" width="6" customWidth="1"/>
    <col min="1533" max="1533" width="54.28515625" customWidth="1"/>
    <col min="1534" max="1534" width="15.140625" customWidth="1"/>
    <col min="1535" max="1535" width="10.85546875" customWidth="1"/>
    <col min="1536" max="1536" width="11.140625" customWidth="1"/>
    <col min="1788" max="1788" width="6" customWidth="1"/>
    <col min="1789" max="1789" width="54.28515625" customWidth="1"/>
    <col min="1790" max="1790" width="15.140625" customWidth="1"/>
    <col min="1791" max="1791" width="10.85546875" customWidth="1"/>
    <col min="1792" max="1792" width="11.140625" customWidth="1"/>
    <col min="2044" max="2044" width="6" customWidth="1"/>
    <col min="2045" max="2045" width="54.28515625" customWidth="1"/>
    <col min="2046" max="2046" width="15.140625" customWidth="1"/>
    <col min="2047" max="2047" width="10.85546875" customWidth="1"/>
    <col min="2048" max="2048" width="11.140625" customWidth="1"/>
    <col min="2300" max="2300" width="6" customWidth="1"/>
    <col min="2301" max="2301" width="54.28515625" customWidth="1"/>
    <col min="2302" max="2302" width="15.140625" customWidth="1"/>
    <col min="2303" max="2303" width="10.85546875" customWidth="1"/>
    <col min="2304" max="2304" width="11.140625" customWidth="1"/>
    <col min="2556" max="2556" width="6" customWidth="1"/>
    <col min="2557" max="2557" width="54.28515625" customWidth="1"/>
    <col min="2558" max="2558" width="15.140625" customWidth="1"/>
    <col min="2559" max="2559" width="10.85546875" customWidth="1"/>
    <col min="2560" max="2560" width="11.140625" customWidth="1"/>
    <col min="2812" max="2812" width="6" customWidth="1"/>
    <col min="2813" max="2813" width="54.28515625" customWidth="1"/>
    <col min="2814" max="2814" width="15.140625" customWidth="1"/>
    <col min="2815" max="2815" width="10.85546875" customWidth="1"/>
    <col min="2816" max="2816" width="11.140625" customWidth="1"/>
    <col min="3068" max="3068" width="6" customWidth="1"/>
    <col min="3069" max="3069" width="54.28515625" customWidth="1"/>
    <col min="3070" max="3070" width="15.140625" customWidth="1"/>
    <col min="3071" max="3071" width="10.85546875" customWidth="1"/>
    <col min="3072" max="3072" width="11.140625" customWidth="1"/>
    <col min="3324" max="3324" width="6" customWidth="1"/>
    <col min="3325" max="3325" width="54.28515625" customWidth="1"/>
    <col min="3326" max="3326" width="15.140625" customWidth="1"/>
    <col min="3327" max="3327" width="10.85546875" customWidth="1"/>
    <col min="3328" max="3328" width="11.140625" customWidth="1"/>
    <col min="3580" max="3580" width="6" customWidth="1"/>
    <col min="3581" max="3581" width="54.28515625" customWidth="1"/>
    <col min="3582" max="3582" width="15.140625" customWidth="1"/>
    <col min="3583" max="3583" width="10.85546875" customWidth="1"/>
    <col min="3584" max="3584" width="11.140625" customWidth="1"/>
    <col min="3836" max="3836" width="6" customWidth="1"/>
    <col min="3837" max="3837" width="54.28515625" customWidth="1"/>
    <col min="3838" max="3838" width="15.140625" customWidth="1"/>
    <col min="3839" max="3839" width="10.85546875" customWidth="1"/>
    <col min="3840" max="3840" width="11.140625" customWidth="1"/>
    <col min="4092" max="4092" width="6" customWidth="1"/>
    <col min="4093" max="4093" width="54.28515625" customWidth="1"/>
    <col min="4094" max="4094" width="15.140625" customWidth="1"/>
    <col min="4095" max="4095" width="10.85546875" customWidth="1"/>
    <col min="4096" max="4096" width="11.140625" customWidth="1"/>
    <col min="4348" max="4348" width="6" customWidth="1"/>
    <col min="4349" max="4349" width="54.28515625" customWidth="1"/>
    <col min="4350" max="4350" width="15.140625" customWidth="1"/>
    <col min="4351" max="4351" width="10.85546875" customWidth="1"/>
    <col min="4352" max="4352" width="11.140625" customWidth="1"/>
    <col min="4604" max="4604" width="6" customWidth="1"/>
    <col min="4605" max="4605" width="54.28515625" customWidth="1"/>
    <col min="4606" max="4606" width="15.140625" customWidth="1"/>
    <col min="4607" max="4607" width="10.85546875" customWidth="1"/>
    <col min="4608" max="4608" width="11.140625" customWidth="1"/>
    <col min="4860" max="4860" width="6" customWidth="1"/>
    <col min="4861" max="4861" width="54.28515625" customWidth="1"/>
    <col min="4862" max="4862" width="15.140625" customWidth="1"/>
    <col min="4863" max="4863" width="10.85546875" customWidth="1"/>
    <col min="4864" max="4864" width="11.140625" customWidth="1"/>
    <col min="5116" max="5116" width="6" customWidth="1"/>
    <col min="5117" max="5117" width="54.28515625" customWidth="1"/>
    <col min="5118" max="5118" width="15.140625" customWidth="1"/>
    <col min="5119" max="5119" width="10.85546875" customWidth="1"/>
    <col min="5120" max="5120" width="11.140625" customWidth="1"/>
    <col min="5372" max="5372" width="6" customWidth="1"/>
    <col min="5373" max="5373" width="54.28515625" customWidth="1"/>
    <col min="5374" max="5374" width="15.140625" customWidth="1"/>
    <col min="5375" max="5375" width="10.85546875" customWidth="1"/>
    <col min="5376" max="5376" width="11.140625" customWidth="1"/>
    <col min="5628" max="5628" width="6" customWidth="1"/>
    <col min="5629" max="5629" width="54.28515625" customWidth="1"/>
    <col min="5630" max="5630" width="15.140625" customWidth="1"/>
    <col min="5631" max="5631" width="10.85546875" customWidth="1"/>
    <col min="5632" max="5632" width="11.140625" customWidth="1"/>
    <col min="5884" max="5884" width="6" customWidth="1"/>
    <col min="5885" max="5885" width="54.28515625" customWidth="1"/>
    <col min="5886" max="5886" width="15.140625" customWidth="1"/>
    <col min="5887" max="5887" width="10.85546875" customWidth="1"/>
    <col min="5888" max="5888" width="11.140625" customWidth="1"/>
    <col min="6140" max="6140" width="6" customWidth="1"/>
    <col min="6141" max="6141" width="54.28515625" customWidth="1"/>
    <col min="6142" max="6142" width="15.140625" customWidth="1"/>
    <col min="6143" max="6143" width="10.85546875" customWidth="1"/>
    <col min="6144" max="6144" width="11.140625" customWidth="1"/>
    <col min="6396" max="6396" width="6" customWidth="1"/>
    <col min="6397" max="6397" width="54.28515625" customWidth="1"/>
    <col min="6398" max="6398" width="15.140625" customWidth="1"/>
    <col min="6399" max="6399" width="10.85546875" customWidth="1"/>
    <col min="6400" max="6400" width="11.140625" customWidth="1"/>
    <col min="6652" max="6652" width="6" customWidth="1"/>
    <col min="6653" max="6653" width="54.28515625" customWidth="1"/>
    <col min="6654" max="6654" width="15.140625" customWidth="1"/>
    <col min="6655" max="6655" width="10.85546875" customWidth="1"/>
    <col min="6656" max="6656" width="11.140625" customWidth="1"/>
    <col min="6908" max="6908" width="6" customWidth="1"/>
    <col min="6909" max="6909" width="54.28515625" customWidth="1"/>
    <col min="6910" max="6910" width="15.140625" customWidth="1"/>
    <col min="6911" max="6911" width="10.85546875" customWidth="1"/>
    <col min="6912" max="6912" width="11.140625" customWidth="1"/>
    <col min="7164" max="7164" width="6" customWidth="1"/>
    <col min="7165" max="7165" width="54.28515625" customWidth="1"/>
    <col min="7166" max="7166" width="15.140625" customWidth="1"/>
    <col min="7167" max="7167" width="10.85546875" customWidth="1"/>
    <col min="7168" max="7168" width="11.140625" customWidth="1"/>
    <col min="7420" max="7420" width="6" customWidth="1"/>
    <col min="7421" max="7421" width="54.28515625" customWidth="1"/>
    <col min="7422" max="7422" width="15.140625" customWidth="1"/>
    <col min="7423" max="7423" width="10.85546875" customWidth="1"/>
    <col min="7424" max="7424" width="11.140625" customWidth="1"/>
    <col min="7676" max="7676" width="6" customWidth="1"/>
    <col min="7677" max="7677" width="54.28515625" customWidth="1"/>
    <col min="7678" max="7678" width="15.140625" customWidth="1"/>
    <col min="7679" max="7679" width="10.85546875" customWidth="1"/>
    <col min="7680" max="7680" width="11.140625" customWidth="1"/>
    <col min="7932" max="7932" width="6" customWidth="1"/>
    <col min="7933" max="7933" width="54.28515625" customWidth="1"/>
    <col min="7934" max="7934" width="15.140625" customWidth="1"/>
    <col min="7935" max="7935" width="10.85546875" customWidth="1"/>
    <col min="7936" max="7936" width="11.140625" customWidth="1"/>
    <col min="8188" max="8188" width="6" customWidth="1"/>
    <col min="8189" max="8189" width="54.28515625" customWidth="1"/>
    <col min="8190" max="8190" width="15.140625" customWidth="1"/>
    <col min="8191" max="8191" width="10.85546875" customWidth="1"/>
    <col min="8192" max="8192" width="11.140625" customWidth="1"/>
    <col min="8444" max="8444" width="6" customWidth="1"/>
    <col min="8445" max="8445" width="54.28515625" customWidth="1"/>
    <col min="8446" max="8446" width="15.140625" customWidth="1"/>
    <col min="8447" max="8447" width="10.85546875" customWidth="1"/>
    <col min="8448" max="8448" width="11.140625" customWidth="1"/>
    <col min="8700" max="8700" width="6" customWidth="1"/>
    <col min="8701" max="8701" width="54.28515625" customWidth="1"/>
    <col min="8702" max="8702" width="15.140625" customWidth="1"/>
    <col min="8703" max="8703" width="10.85546875" customWidth="1"/>
    <col min="8704" max="8704" width="11.140625" customWidth="1"/>
    <col min="8956" max="8956" width="6" customWidth="1"/>
    <col min="8957" max="8957" width="54.28515625" customWidth="1"/>
    <col min="8958" max="8958" width="15.140625" customWidth="1"/>
    <col min="8959" max="8959" width="10.85546875" customWidth="1"/>
    <col min="8960" max="8960" width="11.140625" customWidth="1"/>
    <col min="9212" max="9212" width="6" customWidth="1"/>
    <col min="9213" max="9213" width="54.28515625" customWidth="1"/>
    <col min="9214" max="9214" width="15.140625" customWidth="1"/>
    <col min="9215" max="9215" width="10.85546875" customWidth="1"/>
    <col min="9216" max="9216" width="11.140625" customWidth="1"/>
    <col min="9468" max="9468" width="6" customWidth="1"/>
    <col min="9469" max="9469" width="54.28515625" customWidth="1"/>
    <col min="9470" max="9470" width="15.140625" customWidth="1"/>
    <col min="9471" max="9471" width="10.85546875" customWidth="1"/>
    <col min="9472" max="9472" width="11.140625" customWidth="1"/>
    <col min="9724" max="9724" width="6" customWidth="1"/>
    <col min="9725" max="9725" width="54.28515625" customWidth="1"/>
    <col min="9726" max="9726" width="15.140625" customWidth="1"/>
    <col min="9727" max="9727" width="10.85546875" customWidth="1"/>
    <col min="9728" max="9728" width="11.140625" customWidth="1"/>
    <col min="9980" max="9980" width="6" customWidth="1"/>
    <col min="9981" max="9981" width="54.28515625" customWidth="1"/>
    <col min="9982" max="9982" width="15.140625" customWidth="1"/>
    <col min="9983" max="9983" width="10.85546875" customWidth="1"/>
    <col min="9984" max="9984" width="11.140625" customWidth="1"/>
    <col min="10236" max="10236" width="6" customWidth="1"/>
    <col min="10237" max="10237" width="54.28515625" customWidth="1"/>
    <col min="10238" max="10238" width="15.140625" customWidth="1"/>
    <col min="10239" max="10239" width="10.85546875" customWidth="1"/>
    <col min="10240" max="10240" width="11.140625" customWidth="1"/>
    <col min="10492" max="10492" width="6" customWidth="1"/>
    <col min="10493" max="10493" width="54.28515625" customWidth="1"/>
    <col min="10494" max="10494" width="15.140625" customWidth="1"/>
    <col min="10495" max="10495" width="10.85546875" customWidth="1"/>
    <col min="10496" max="10496" width="11.140625" customWidth="1"/>
    <col min="10748" max="10748" width="6" customWidth="1"/>
    <col min="10749" max="10749" width="54.28515625" customWidth="1"/>
    <col min="10750" max="10750" width="15.140625" customWidth="1"/>
    <col min="10751" max="10751" width="10.85546875" customWidth="1"/>
    <col min="10752" max="10752" width="11.140625" customWidth="1"/>
    <col min="11004" max="11004" width="6" customWidth="1"/>
    <col min="11005" max="11005" width="54.28515625" customWidth="1"/>
    <col min="11006" max="11006" width="15.140625" customWidth="1"/>
    <col min="11007" max="11007" width="10.85546875" customWidth="1"/>
    <col min="11008" max="11008" width="11.140625" customWidth="1"/>
    <col min="11260" max="11260" width="6" customWidth="1"/>
    <col min="11261" max="11261" width="54.28515625" customWidth="1"/>
    <col min="11262" max="11262" width="15.140625" customWidth="1"/>
    <col min="11263" max="11263" width="10.85546875" customWidth="1"/>
    <col min="11264" max="11264" width="11.140625" customWidth="1"/>
    <col min="11516" max="11516" width="6" customWidth="1"/>
    <col min="11517" max="11517" width="54.28515625" customWidth="1"/>
    <col min="11518" max="11518" width="15.140625" customWidth="1"/>
    <col min="11519" max="11519" width="10.85546875" customWidth="1"/>
    <col min="11520" max="11520" width="11.140625" customWidth="1"/>
    <col min="11772" max="11772" width="6" customWidth="1"/>
    <col min="11773" max="11773" width="54.28515625" customWidth="1"/>
    <col min="11774" max="11774" width="15.140625" customWidth="1"/>
    <col min="11775" max="11775" width="10.85546875" customWidth="1"/>
    <col min="11776" max="11776" width="11.140625" customWidth="1"/>
    <col min="12028" max="12028" width="6" customWidth="1"/>
    <col min="12029" max="12029" width="54.28515625" customWidth="1"/>
    <col min="12030" max="12030" width="15.140625" customWidth="1"/>
    <col min="12031" max="12031" width="10.85546875" customWidth="1"/>
    <col min="12032" max="12032" width="11.140625" customWidth="1"/>
    <col min="12284" max="12284" width="6" customWidth="1"/>
    <col min="12285" max="12285" width="54.28515625" customWidth="1"/>
    <col min="12286" max="12286" width="15.140625" customWidth="1"/>
    <col min="12287" max="12287" width="10.85546875" customWidth="1"/>
    <col min="12288" max="12288" width="11.140625" customWidth="1"/>
    <col min="12540" max="12540" width="6" customWidth="1"/>
    <col min="12541" max="12541" width="54.28515625" customWidth="1"/>
    <col min="12542" max="12542" width="15.140625" customWidth="1"/>
    <col min="12543" max="12543" width="10.85546875" customWidth="1"/>
    <col min="12544" max="12544" width="11.140625" customWidth="1"/>
    <col min="12796" max="12796" width="6" customWidth="1"/>
    <col min="12797" max="12797" width="54.28515625" customWidth="1"/>
    <col min="12798" max="12798" width="15.140625" customWidth="1"/>
    <col min="12799" max="12799" width="10.85546875" customWidth="1"/>
    <col min="12800" max="12800" width="11.140625" customWidth="1"/>
    <col min="13052" max="13052" width="6" customWidth="1"/>
    <col min="13053" max="13053" width="54.28515625" customWidth="1"/>
    <col min="13054" max="13054" width="15.140625" customWidth="1"/>
    <col min="13055" max="13055" width="10.85546875" customWidth="1"/>
    <col min="13056" max="13056" width="11.140625" customWidth="1"/>
    <col min="13308" max="13308" width="6" customWidth="1"/>
    <col min="13309" max="13309" width="54.28515625" customWidth="1"/>
    <col min="13310" max="13310" width="15.140625" customWidth="1"/>
    <col min="13311" max="13311" width="10.85546875" customWidth="1"/>
    <col min="13312" max="13312" width="11.140625" customWidth="1"/>
    <col min="13564" max="13564" width="6" customWidth="1"/>
    <col min="13565" max="13565" width="54.28515625" customWidth="1"/>
    <col min="13566" max="13566" width="15.140625" customWidth="1"/>
    <col min="13567" max="13567" width="10.85546875" customWidth="1"/>
    <col min="13568" max="13568" width="11.140625" customWidth="1"/>
    <col min="13820" max="13820" width="6" customWidth="1"/>
    <col min="13821" max="13821" width="54.28515625" customWidth="1"/>
    <col min="13822" max="13822" width="15.140625" customWidth="1"/>
    <col min="13823" max="13823" width="10.85546875" customWidth="1"/>
    <col min="13824" max="13824" width="11.140625" customWidth="1"/>
    <col min="14076" max="14076" width="6" customWidth="1"/>
    <col min="14077" max="14077" width="54.28515625" customWidth="1"/>
    <col min="14078" max="14078" width="15.140625" customWidth="1"/>
    <col min="14079" max="14079" width="10.85546875" customWidth="1"/>
    <col min="14080" max="14080" width="11.140625" customWidth="1"/>
    <col min="14332" max="14332" width="6" customWidth="1"/>
    <col min="14333" max="14333" width="54.28515625" customWidth="1"/>
    <col min="14334" max="14334" width="15.140625" customWidth="1"/>
    <col min="14335" max="14335" width="10.85546875" customWidth="1"/>
    <col min="14336" max="14336" width="11.140625" customWidth="1"/>
    <col min="14588" max="14588" width="6" customWidth="1"/>
    <col min="14589" max="14589" width="54.28515625" customWidth="1"/>
    <col min="14590" max="14590" width="15.140625" customWidth="1"/>
    <col min="14591" max="14591" width="10.85546875" customWidth="1"/>
    <col min="14592" max="14592" width="11.140625" customWidth="1"/>
    <col min="14844" max="14844" width="6" customWidth="1"/>
    <col min="14845" max="14845" width="54.28515625" customWidth="1"/>
    <col min="14846" max="14846" width="15.140625" customWidth="1"/>
    <col min="14847" max="14847" width="10.85546875" customWidth="1"/>
    <col min="14848" max="14848" width="11.140625" customWidth="1"/>
    <col min="15100" max="15100" width="6" customWidth="1"/>
    <col min="15101" max="15101" width="54.28515625" customWidth="1"/>
    <col min="15102" max="15102" width="15.140625" customWidth="1"/>
    <col min="15103" max="15103" width="10.85546875" customWidth="1"/>
    <col min="15104" max="15104" width="11.140625" customWidth="1"/>
    <col min="15356" max="15356" width="6" customWidth="1"/>
    <col min="15357" max="15357" width="54.28515625" customWidth="1"/>
    <col min="15358" max="15358" width="15.140625" customWidth="1"/>
    <col min="15359" max="15359" width="10.85546875" customWidth="1"/>
    <col min="15360" max="15360" width="11.140625" customWidth="1"/>
    <col min="15612" max="15612" width="6" customWidth="1"/>
    <col min="15613" max="15613" width="54.28515625" customWidth="1"/>
    <col min="15614" max="15614" width="15.140625" customWidth="1"/>
    <col min="15615" max="15615" width="10.85546875" customWidth="1"/>
    <col min="15616" max="15616" width="11.140625" customWidth="1"/>
    <col min="15868" max="15868" width="6" customWidth="1"/>
    <col min="15869" max="15869" width="54.28515625" customWidth="1"/>
    <col min="15870" max="15870" width="15.140625" customWidth="1"/>
    <col min="15871" max="15871" width="10.85546875" customWidth="1"/>
    <col min="15872" max="15872" width="11.140625" customWidth="1"/>
    <col min="16124" max="16124" width="6" customWidth="1"/>
    <col min="16125" max="16125" width="54.28515625" customWidth="1"/>
    <col min="16126" max="16126" width="15.140625" customWidth="1"/>
    <col min="16127" max="16127" width="10.85546875" customWidth="1"/>
    <col min="16128" max="16128" width="11.140625" customWidth="1"/>
  </cols>
  <sheetData>
    <row r="1" spans="1:7" x14ac:dyDescent="0.25">
      <c r="A1" s="28"/>
      <c r="B1" s="14"/>
      <c r="C1" s="14" t="s">
        <v>298</v>
      </c>
      <c r="D1" s="55"/>
      <c r="E1" s="55"/>
      <c r="F1" s="55"/>
      <c r="G1" s="55"/>
    </row>
    <row r="2" spans="1:7" x14ac:dyDescent="0.25">
      <c r="A2" s="28"/>
      <c r="B2" s="14"/>
      <c r="C2" s="14" t="s">
        <v>350</v>
      </c>
      <c r="D2" s="55"/>
      <c r="E2" s="55"/>
      <c r="F2" s="55"/>
      <c r="G2" s="55"/>
    </row>
    <row r="3" spans="1:7" x14ac:dyDescent="0.25">
      <c r="A3" s="28"/>
      <c r="B3" s="14"/>
      <c r="C3" s="14" t="s">
        <v>299</v>
      </c>
      <c r="D3" s="55"/>
      <c r="E3" s="55"/>
      <c r="F3" s="55"/>
      <c r="G3" s="55"/>
    </row>
    <row r="4" spans="1:7" x14ac:dyDescent="0.25">
      <c r="A4" s="28"/>
      <c r="B4" s="28"/>
      <c r="C4" s="55"/>
      <c r="D4" s="55"/>
      <c r="E4" s="55"/>
      <c r="F4" s="55"/>
      <c r="G4" s="55"/>
    </row>
    <row r="5" spans="1:7" ht="49.5" customHeight="1" x14ac:dyDescent="0.25">
      <c r="A5" s="129" t="s">
        <v>351</v>
      </c>
      <c r="B5" s="129"/>
      <c r="C5" s="129"/>
      <c r="D5" s="129"/>
      <c r="E5" s="129"/>
      <c r="F5" s="129"/>
      <c r="G5" s="55"/>
    </row>
    <row r="6" spans="1:7" x14ac:dyDescent="0.25">
      <c r="A6" s="28"/>
      <c r="B6" s="28"/>
      <c r="C6" s="55"/>
      <c r="D6" s="55"/>
      <c r="E6" s="55"/>
      <c r="F6" s="55"/>
      <c r="G6" s="55"/>
    </row>
    <row r="7" spans="1:7" x14ac:dyDescent="0.25">
      <c r="A7" s="29"/>
      <c r="B7" s="14"/>
      <c r="C7" s="55"/>
      <c r="D7" s="56"/>
      <c r="E7" s="55"/>
      <c r="F7" s="55" t="s">
        <v>353</v>
      </c>
      <c r="G7" s="55"/>
    </row>
    <row r="8" spans="1:7" x14ac:dyDescent="0.25">
      <c r="A8" s="145" t="s">
        <v>0</v>
      </c>
      <c r="B8" s="145" t="s">
        <v>164</v>
      </c>
      <c r="C8" s="144" t="s">
        <v>261</v>
      </c>
      <c r="D8" s="144"/>
      <c r="E8" s="144"/>
      <c r="F8" s="144"/>
      <c r="G8" s="55"/>
    </row>
    <row r="9" spans="1:7" ht="47.25" x14ac:dyDescent="0.25">
      <c r="A9" s="145"/>
      <c r="B9" s="145"/>
      <c r="C9" s="31" t="s">
        <v>286</v>
      </c>
      <c r="D9" s="31" t="s">
        <v>272</v>
      </c>
      <c r="E9" s="31" t="s">
        <v>297</v>
      </c>
      <c r="F9" s="31" t="s">
        <v>283</v>
      </c>
      <c r="G9" s="55"/>
    </row>
    <row r="10" spans="1:7" x14ac:dyDescent="0.25">
      <c r="A10" s="39">
        <v>1</v>
      </c>
      <c r="B10" s="40">
        <v>2</v>
      </c>
      <c r="C10" s="39">
        <v>3</v>
      </c>
      <c r="D10" s="40">
        <v>4</v>
      </c>
      <c r="E10" s="39">
        <v>5</v>
      </c>
      <c r="F10" s="40">
        <v>6</v>
      </c>
      <c r="G10" s="55"/>
    </row>
    <row r="11" spans="1:7" x14ac:dyDescent="0.25">
      <c r="A11" s="30">
        <v>1</v>
      </c>
      <c r="B11" s="41" t="s">
        <v>182</v>
      </c>
      <c r="C11" s="69"/>
      <c r="D11" s="69"/>
      <c r="E11" s="69"/>
      <c r="F11" s="69"/>
      <c r="G11" s="55"/>
    </row>
    <row r="12" spans="1:7" x14ac:dyDescent="0.25">
      <c r="A12" s="30">
        <f>+A11+1</f>
        <v>2</v>
      </c>
      <c r="B12" s="31" t="s">
        <v>259</v>
      </c>
      <c r="C12" s="87">
        <v>196883</v>
      </c>
      <c r="D12" s="87">
        <v>196883</v>
      </c>
      <c r="E12" s="87">
        <f>+D12-C12</f>
        <v>0</v>
      </c>
      <c r="F12" s="70">
        <f>+D12/C12*100</f>
        <v>100</v>
      </c>
      <c r="G12" s="55"/>
    </row>
    <row r="13" spans="1:7" x14ac:dyDescent="0.25">
      <c r="A13" s="30">
        <f t="shared" ref="A13:A20" si="0">+A12+1</f>
        <v>3</v>
      </c>
      <c r="B13" s="31" t="s">
        <v>352</v>
      </c>
      <c r="C13" s="87">
        <v>172324</v>
      </c>
      <c r="D13" s="87">
        <v>112779</v>
      </c>
      <c r="E13" s="87">
        <f t="shared" ref="E13:E19" si="1">+D13-C13</f>
        <v>-59545</v>
      </c>
      <c r="F13" s="70">
        <f t="shared" ref="F13:F20" si="2">+D13/C13*100</f>
        <v>65.400000000000006</v>
      </c>
      <c r="G13" s="55"/>
    </row>
    <row r="14" spans="1:7" x14ac:dyDescent="0.25">
      <c r="A14" s="30">
        <f t="shared" si="0"/>
        <v>4</v>
      </c>
      <c r="B14" s="31" t="s">
        <v>243</v>
      </c>
      <c r="C14" s="87">
        <v>8138</v>
      </c>
      <c r="D14" s="87">
        <v>7008</v>
      </c>
      <c r="E14" s="87">
        <f t="shared" si="1"/>
        <v>-1130</v>
      </c>
      <c r="F14" s="70">
        <f t="shared" si="2"/>
        <v>86.1</v>
      </c>
      <c r="G14" s="55"/>
    </row>
    <row r="15" spans="1:7" x14ac:dyDescent="0.25">
      <c r="A15" s="30">
        <f t="shared" si="0"/>
        <v>5</v>
      </c>
      <c r="B15" s="31" t="s">
        <v>191</v>
      </c>
      <c r="C15" s="87">
        <v>182721</v>
      </c>
      <c r="D15" s="87">
        <v>182673</v>
      </c>
      <c r="E15" s="87">
        <f t="shared" si="1"/>
        <v>-48</v>
      </c>
      <c r="F15" s="70">
        <f t="shared" si="2"/>
        <v>100</v>
      </c>
      <c r="G15" s="55"/>
    </row>
    <row r="16" spans="1:7" s="32" customFormat="1" x14ac:dyDescent="0.25">
      <c r="A16" s="30">
        <f t="shared" si="0"/>
        <v>6</v>
      </c>
      <c r="B16" s="31" t="s">
        <v>260</v>
      </c>
      <c r="C16" s="87">
        <v>120829</v>
      </c>
      <c r="D16" s="88">
        <v>120823</v>
      </c>
      <c r="E16" s="87">
        <f t="shared" si="1"/>
        <v>-6</v>
      </c>
      <c r="F16" s="70">
        <f t="shared" si="2"/>
        <v>100</v>
      </c>
      <c r="G16" s="57"/>
    </row>
    <row r="17" spans="1:7" s="32" customFormat="1" x14ac:dyDescent="0.25">
      <c r="A17" s="30">
        <f t="shared" si="0"/>
        <v>7</v>
      </c>
      <c r="B17" s="31" t="s">
        <v>198</v>
      </c>
      <c r="C17" s="87">
        <v>167800</v>
      </c>
      <c r="D17" s="88">
        <v>167775</v>
      </c>
      <c r="E17" s="87">
        <f t="shared" si="1"/>
        <v>-25</v>
      </c>
      <c r="F17" s="70">
        <f t="shared" si="2"/>
        <v>100</v>
      </c>
      <c r="G17" s="57"/>
    </row>
    <row r="18" spans="1:7" x14ac:dyDescent="0.25">
      <c r="A18" s="30">
        <f t="shared" si="0"/>
        <v>8</v>
      </c>
      <c r="B18" s="31" t="s">
        <v>220</v>
      </c>
      <c r="C18" s="87">
        <v>435531</v>
      </c>
      <c r="D18" s="87">
        <v>90327</v>
      </c>
      <c r="E18" s="87">
        <f t="shared" si="1"/>
        <v>-345204</v>
      </c>
      <c r="F18" s="70">
        <f t="shared" si="2"/>
        <v>20.7</v>
      </c>
      <c r="G18" s="55"/>
    </row>
    <row r="19" spans="1:7" s="32" customFormat="1" x14ac:dyDescent="0.25">
      <c r="A19" s="30">
        <f t="shared" si="0"/>
        <v>9</v>
      </c>
      <c r="B19" s="31" t="s">
        <v>204</v>
      </c>
      <c r="C19" s="87">
        <v>39794</v>
      </c>
      <c r="D19" s="88">
        <v>24504</v>
      </c>
      <c r="E19" s="87">
        <f t="shared" si="1"/>
        <v>-15290</v>
      </c>
      <c r="F19" s="70">
        <f t="shared" si="2"/>
        <v>61.6</v>
      </c>
      <c r="G19" s="57"/>
    </row>
    <row r="20" spans="1:7" x14ac:dyDescent="0.25">
      <c r="A20" s="30">
        <f t="shared" si="0"/>
        <v>10</v>
      </c>
      <c r="B20" s="42" t="s">
        <v>234</v>
      </c>
      <c r="C20" s="89">
        <f>SUM(C12:C19)</f>
        <v>1324020</v>
      </c>
      <c r="D20" s="89">
        <f>SUM(D12:D19)</f>
        <v>902772</v>
      </c>
      <c r="E20" s="89">
        <f>SUM(E12:E19)</f>
        <v>-421248</v>
      </c>
      <c r="F20" s="71">
        <f t="shared" si="2"/>
        <v>68.2</v>
      </c>
      <c r="G20" s="55"/>
    </row>
    <row r="22" spans="1:7" x14ac:dyDescent="0.25">
      <c r="B22" s="34"/>
    </row>
  </sheetData>
  <mergeCells count="4">
    <mergeCell ref="C8:F8"/>
    <mergeCell ref="B8:B9"/>
    <mergeCell ref="A8:A9"/>
    <mergeCell ref="A5:F5"/>
  </mergeCells>
  <pageMargins left="1.4960629921259843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3"/>
  <sheetViews>
    <sheetView showZeros="0" tabSelected="1" topLeftCell="C115" workbookViewId="0">
      <selection activeCell="E141" sqref="E141"/>
    </sheetView>
  </sheetViews>
  <sheetFormatPr defaultColWidth="9.140625" defaultRowHeight="15.75" x14ac:dyDescent="0.25"/>
  <cols>
    <col min="1" max="1" width="5.140625" style="1" customWidth="1"/>
    <col min="2" max="2" width="40.7109375" style="1" customWidth="1"/>
    <col min="3" max="3" width="11.85546875" style="2" customWidth="1"/>
    <col min="4" max="4" width="11.42578125" style="2" customWidth="1"/>
    <col min="5" max="5" width="11" style="2" customWidth="1"/>
    <col min="6" max="6" width="11.28515625" style="2" customWidth="1"/>
    <col min="7" max="7" width="11.42578125" style="11" customWidth="1"/>
    <col min="8" max="8" width="10.42578125" style="2" customWidth="1"/>
    <col min="9" max="9" width="11.85546875" style="2" customWidth="1"/>
    <col min="10" max="10" width="11.140625" style="11" customWidth="1"/>
    <col min="11" max="11" width="9.85546875" style="2" customWidth="1"/>
    <col min="12" max="12" width="9.140625" style="2" customWidth="1"/>
    <col min="13" max="13" width="8" style="11" customWidth="1"/>
    <col min="14" max="14" width="9.7109375" style="2" customWidth="1"/>
    <col min="15" max="16384" width="9.140625" style="2"/>
  </cols>
  <sheetData>
    <row r="1" spans="1:14" x14ac:dyDescent="0.25">
      <c r="I1" s="1" t="s">
        <v>266</v>
      </c>
    </row>
    <row r="2" spans="1:14" x14ac:dyDescent="0.25">
      <c r="I2" s="1" t="s">
        <v>356</v>
      </c>
    </row>
    <row r="3" spans="1:14" x14ac:dyDescent="0.25">
      <c r="I3" s="1" t="s">
        <v>267</v>
      </c>
    </row>
    <row r="4" spans="1:14" ht="10.5" customHeight="1" x14ac:dyDescent="0.25">
      <c r="L4" s="2" t="s">
        <v>287</v>
      </c>
    </row>
    <row r="5" spans="1:14" ht="14.25" customHeight="1" x14ac:dyDescent="0.25">
      <c r="A5" s="3"/>
      <c r="B5" s="3" t="s">
        <v>359</v>
      </c>
      <c r="C5" s="11"/>
      <c r="D5" s="11"/>
      <c r="E5" s="11"/>
    </row>
    <row r="6" spans="1:14" ht="15" customHeight="1" x14ac:dyDescent="0.25">
      <c r="A6" s="4"/>
      <c r="B6" s="5"/>
      <c r="C6" s="146" t="s">
        <v>447</v>
      </c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</row>
    <row r="7" spans="1:14" ht="21.75" customHeight="1" x14ac:dyDescent="0.25">
      <c r="A7" s="147" t="s">
        <v>0</v>
      </c>
      <c r="B7" s="147" t="s">
        <v>1</v>
      </c>
      <c r="C7" s="147" t="s">
        <v>2</v>
      </c>
      <c r="D7" s="147"/>
      <c r="E7" s="147"/>
      <c r="F7" s="130" t="s">
        <v>3</v>
      </c>
      <c r="G7" s="130"/>
      <c r="H7" s="130"/>
      <c r="I7" s="130"/>
      <c r="J7" s="130"/>
      <c r="K7" s="130"/>
      <c r="L7" s="130"/>
      <c r="M7" s="130"/>
      <c r="N7" s="130"/>
    </row>
    <row r="8" spans="1:14" ht="35.25" customHeight="1" x14ac:dyDescent="0.2">
      <c r="A8" s="147"/>
      <c r="B8" s="147"/>
      <c r="C8" s="147"/>
      <c r="D8" s="147"/>
      <c r="E8" s="147"/>
      <c r="F8" s="148" t="s">
        <v>288</v>
      </c>
      <c r="G8" s="148"/>
      <c r="H8" s="148"/>
      <c r="I8" s="149" t="s">
        <v>289</v>
      </c>
      <c r="J8" s="149"/>
      <c r="K8" s="149"/>
      <c r="L8" s="149" t="s">
        <v>290</v>
      </c>
      <c r="M8" s="149"/>
      <c r="N8" s="149"/>
    </row>
    <row r="9" spans="1:14" ht="60" customHeight="1" x14ac:dyDescent="0.2">
      <c r="A9" s="72"/>
      <c r="B9" s="72"/>
      <c r="C9" s="73" t="s">
        <v>286</v>
      </c>
      <c r="D9" s="73" t="s">
        <v>272</v>
      </c>
      <c r="E9" s="68" t="s">
        <v>291</v>
      </c>
      <c r="F9" s="73" t="s">
        <v>286</v>
      </c>
      <c r="G9" s="73" t="s">
        <v>272</v>
      </c>
      <c r="H9" s="68" t="s">
        <v>291</v>
      </c>
      <c r="I9" s="73" t="s">
        <v>286</v>
      </c>
      <c r="J9" s="73" t="s">
        <v>272</v>
      </c>
      <c r="K9" s="68" t="s">
        <v>291</v>
      </c>
      <c r="L9" s="73" t="s">
        <v>286</v>
      </c>
      <c r="M9" s="73" t="s">
        <v>272</v>
      </c>
      <c r="N9" s="68" t="s">
        <v>291</v>
      </c>
    </row>
    <row r="10" spans="1:14" ht="15" customHeight="1" x14ac:dyDescent="0.25">
      <c r="A10" s="52">
        <v>1</v>
      </c>
      <c r="B10" s="6" t="s">
        <v>4</v>
      </c>
      <c r="C10" s="6" t="s">
        <v>5</v>
      </c>
      <c r="D10" s="6" t="s">
        <v>6</v>
      </c>
      <c r="E10" s="6" t="s">
        <v>292</v>
      </c>
      <c r="F10" s="6" t="s">
        <v>7</v>
      </c>
      <c r="G10" s="6" t="s">
        <v>293</v>
      </c>
      <c r="H10" s="6" t="s">
        <v>294</v>
      </c>
      <c r="I10" s="52">
        <v>9</v>
      </c>
      <c r="J10" s="52">
        <v>10</v>
      </c>
      <c r="K10" s="52">
        <v>11</v>
      </c>
      <c r="L10" s="52">
        <v>12</v>
      </c>
      <c r="M10" s="52">
        <v>13</v>
      </c>
      <c r="N10" s="6" t="s">
        <v>295</v>
      </c>
    </row>
    <row r="11" spans="1:14" ht="18" customHeight="1" x14ac:dyDescent="0.25">
      <c r="A11" s="7">
        <v>1</v>
      </c>
      <c r="B11" s="8" t="s">
        <v>8</v>
      </c>
      <c r="C11" s="74">
        <f>F11+I11+L11</f>
        <v>4478</v>
      </c>
      <c r="D11" s="74">
        <f>G11+J11+M11</f>
        <v>4452</v>
      </c>
      <c r="E11" s="74">
        <f>D11-C11</f>
        <v>-26</v>
      </c>
      <c r="F11" s="67"/>
      <c r="G11" s="67"/>
      <c r="H11" s="74">
        <f>G11-F11</f>
        <v>0</v>
      </c>
      <c r="I11" s="67"/>
      <c r="J11" s="67"/>
      <c r="K11" s="74">
        <f>J11-I11</f>
        <v>0</v>
      </c>
      <c r="L11" s="67">
        <v>4478</v>
      </c>
      <c r="M11" s="67">
        <v>4452</v>
      </c>
      <c r="N11" s="74">
        <f>M11-L11</f>
        <v>-26</v>
      </c>
    </row>
    <row r="12" spans="1:14" ht="19.5" customHeight="1" x14ac:dyDescent="0.25">
      <c r="A12" s="7">
        <v>2</v>
      </c>
      <c r="B12" s="8" t="s">
        <v>9</v>
      </c>
      <c r="C12" s="74">
        <f t="shared" ref="C12:N12" si="0">+C13+C14</f>
        <v>36110</v>
      </c>
      <c r="D12" s="74">
        <f t="shared" si="0"/>
        <v>30759</v>
      </c>
      <c r="E12" s="74">
        <f t="shared" si="0"/>
        <v>-5351</v>
      </c>
      <c r="F12" s="74">
        <f t="shared" si="0"/>
        <v>0</v>
      </c>
      <c r="G12" s="74">
        <f t="shared" si="0"/>
        <v>0</v>
      </c>
      <c r="H12" s="74">
        <f t="shared" si="0"/>
        <v>0</v>
      </c>
      <c r="I12" s="74">
        <f t="shared" si="0"/>
        <v>29391</v>
      </c>
      <c r="J12" s="74">
        <f t="shared" si="0"/>
        <v>24039</v>
      </c>
      <c r="K12" s="74">
        <f t="shared" si="0"/>
        <v>-5352</v>
      </c>
      <c r="L12" s="74">
        <f t="shared" si="0"/>
        <v>6719</v>
      </c>
      <c r="M12" s="74">
        <f t="shared" si="0"/>
        <v>6720</v>
      </c>
      <c r="N12" s="74">
        <f t="shared" si="0"/>
        <v>1</v>
      </c>
    </row>
    <row r="13" spans="1:14" ht="16.5" customHeight="1" x14ac:dyDescent="0.25">
      <c r="A13" s="7">
        <v>3</v>
      </c>
      <c r="B13" s="75" t="s">
        <v>9</v>
      </c>
      <c r="C13" s="76">
        <f>F13+I13+L13</f>
        <v>869</v>
      </c>
      <c r="D13" s="76">
        <f>G13+J13+M13</f>
        <v>921</v>
      </c>
      <c r="E13" s="76">
        <f t="shared" ref="E13:E76" si="1">D13-C13</f>
        <v>52</v>
      </c>
      <c r="F13" s="66"/>
      <c r="G13" s="66"/>
      <c r="H13" s="74">
        <f t="shared" ref="H13:H76" si="2">G13-F13</f>
        <v>0</v>
      </c>
      <c r="I13" s="66">
        <v>869</v>
      </c>
      <c r="J13" s="66">
        <v>921</v>
      </c>
      <c r="K13" s="76">
        <f>J13-I13</f>
        <v>52</v>
      </c>
      <c r="L13" s="66">
        <v>0</v>
      </c>
      <c r="M13" s="66"/>
      <c r="N13" s="76">
        <f>M13-L13</f>
        <v>0</v>
      </c>
    </row>
    <row r="14" spans="1:14" x14ac:dyDescent="0.25">
      <c r="A14" s="7">
        <v>4</v>
      </c>
      <c r="B14" s="75" t="s">
        <v>262</v>
      </c>
      <c r="C14" s="76">
        <f>F14+I14+L14</f>
        <v>35241</v>
      </c>
      <c r="D14" s="76">
        <f>G14+J14+M14</f>
        <v>29838</v>
      </c>
      <c r="E14" s="76">
        <f t="shared" si="1"/>
        <v>-5403</v>
      </c>
      <c r="F14" s="66"/>
      <c r="G14" s="66"/>
      <c r="H14" s="74">
        <f t="shared" si="2"/>
        <v>0</v>
      </c>
      <c r="I14" s="66">
        <f>4194+24328</f>
        <v>28522</v>
      </c>
      <c r="J14" s="66">
        <f>4193+18925</f>
        <v>23118</v>
      </c>
      <c r="K14" s="76">
        <f>J14-I14</f>
        <v>-5404</v>
      </c>
      <c r="L14" s="66">
        <v>6719</v>
      </c>
      <c r="M14" s="66">
        <v>6720</v>
      </c>
      <c r="N14" s="76">
        <f>M14-L14</f>
        <v>1</v>
      </c>
    </row>
    <row r="15" spans="1:14" s="9" customFormat="1" x14ac:dyDescent="0.25">
      <c r="A15" s="7">
        <v>5</v>
      </c>
      <c r="B15" s="8" t="s">
        <v>10</v>
      </c>
      <c r="C15" s="74">
        <f t="shared" ref="C15:N15" si="3">SUM(C16:C118)</f>
        <v>6114684</v>
      </c>
      <c r="D15" s="74">
        <f t="shared" si="3"/>
        <v>6165905</v>
      </c>
      <c r="E15" s="74">
        <f t="shared" si="3"/>
        <v>51221</v>
      </c>
      <c r="F15" s="74">
        <f t="shared" si="3"/>
        <v>4548362</v>
      </c>
      <c r="G15" s="74">
        <f t="shared" si="3"/>
        <v>4561914</v>
      </c>
      <c r="H15" s="74">
        <f t="shared" si="3"/>
        <v>13552</v>
      </c>
      <c r="I15" s="74">
        <f t="shared" si="3"/>
        <v>1487369</v>
      </c>
      <c r="J15" s="74">
        <f t="shared" si="3"/>
        <v>1527157</v>
      </c>
      <c r="K15" s="74">
        <f t="shared" si="3"/>
        <v>39788</v>
      </c>
      <c r="L15" s="74">
        <f t="shared" si="3"/>
        <v>78953</v>
      </c>
      <c r="M15" s="74">
        <f t="shared" si="3"/>
        <v>76834</v>
      </c>
      <c r="N15" s="74">
        <f t="shared" si="3"/>
        <v>-2119</v>
      </c>
    </row>
    <row r="16" spans="1:14" x14ac:dyDescent="0.25">
      <c r="A16" s="7">
        <v>6</v>
      </c>
      <c r="B16" s="75" t="s">
        <v>11</v>
      </c>
      <c r="C16" s="76">
        <f t="shared" ref="C16:D77" si="4">F16+I16+L16</f>
        <v>112951</v>
      </c>
      <c r="D16" s="76">
        <f t="shared" si="4"/>
        <v>123619</v>
      </c>
      <c r="E16" s="76">
        <f t="shared" si="1"/>
        <v>10668</v>
      </c>
      <c r="F16" s="66">
        <v>34754</v>
      </c>
      <c r="G16" s="66">
        <v>32311</v>
      </c>
      <c r="H16" s="76">
        <f t="shared" si="2"/>
        <v>-2443</v>
      </c>
      <c r="I16" s="66">
        <v>78197</v>
      </c>
      <c r="J16" s="66">
        <v>91308</v>
      </c>
      <c r="K16" s="76">
        <f t="shared" ref="K16:K79" si="5">J16-I16</f>
        <v>13111</v>
      </c>
      <c r="L16" s="66">
        <v>0</v>
      </c>
      <c r="M16" s="66"/>
      <c r="N16" s="76">
        <f t="shared" ref="N16:N79" si="6">M16-L16</f>
        <v>0</v>
      </c>
    </row>
    <row r="17" spans="1:14" x14ac:dyDescent="0.25">
      <c r="A17" s="7">
        <v>7</v>
      </c>
      <c r="B17" s="75" t="s">
        <v>12</v>
      </c>
      <c r="C17" s="76">
        <f t="shared" si="4"/>
        <v>11585</v>
      </c>
      <c r="D17" s="76">
        <f t="shared" si="4"/>
        <v>13592</v>
      </c>
      <c r="E17" s="76">
        <f t="shared" si="1"/>
        <v>2007</v>
      </c>
      <c r="F17" s="66">
        <v>11585</v>
      </c>
      <c r="G17" s="66">
        <v>13592</v>
      </c>
      <c r="H17" s="76">
        <f t="shared" si="2"/>
        <v>2007</v>
      </c>
      <c r="I17" s="66">
        <v>0</v>
      </c>
      <c r="J17" s="66"/>
      <c r="K17" s="76">
        <f t="shared" si="5"/>
        <v>0</v>
      </c>
      <c r="L17" s="66">
        <v>0</v>
      </c>
      <c r="M17" s="66"/>
      <c r="N17" s="76">
        <f t="shared" si="6"/>
        <v>0</v>
      </c>
    </row>
    <row r="18" spans="1:14" ht="15" customHeight="1" x14ac:dyDescent="0.25">
      <c r="A18" s="7">
        <v>8</v>
      </c>
      <c r="B18" s="75" t="s">
        <v>13</v>
      </c>
      <c r="C18" s="76">
        <f t="shared" si="4"/>
        <v>53619</v>
      </c>
      <c r="D18" s="76">
        <f t="shared" si="4"/>
        <v>49651</v>
      </c>
      <c r="E18" s="76">
        <f t="shared" si="1"/>
        <v>-3968</v>
      </c>
      <c r="F18" s="66">
        <v>27804</v>
      </c>
      <c r="G18" s="66">
        <v>18753</v>
      </c>
      <c r="H18" s="76">
        <f t="shared" si="2"/>
        <v>-9051</v>
      </c>
      <c r="I18" s="66">
        <v>20028</v>
      </c>
      <c r="J18" s="66">
        <v>24654</v>
      </c>
      <c r="K18" s="76">
        <f t="shared" si="5"/>
        <v>4626</v>
      </c>
      <c r="L18" s="66">
        <v>5787</v>
      </c>
      <c r="M18" s="66">
        <v>6244</v>
      </c>
      <c r="N18" s="76">
        <f t="shared" si="6"/>
        <v>457</v>
      </c>
    </row>
    <row r="19" spans="1:14" ht="14.25" customHeight="1" x14ac:dyDescent="0.25">
      <c r="A19" s="7">
        <v>9</v>
      </c>
      <c r="B19" s="75" t="s">
        <v>109</v>
      </c>
      <c r="C19" s="76">
        <f t="shared" si="4"/>
        <v>19551</v>
      </c>
      <c r="D19" s="76">
        <f t="shared" si="4"/>
        <v>21035</v>
      </c>
      <c r="E19" s="76">
        <f t="shared" si="1"/>
        <v>1484</v>
      </c>
      <c r="F19" s="66">
        <v>6951</v>
      </c>
      <c r="G19" s="66">
        <v>6828</v>
      </c>
      <c r="H19" s="76">
        <f t="shared" si="2"/>
        <v>-123</v>
      </c>
      <c r="I19" s="66">
        <v>9500</v>
      </c>
      <c r="J19" s="66">
        <v>11137</v>
      </c>
      <c r="K19" s="76">
        <f t="shared" si="5"/>
        <v>1637</v>
      </c>
      <c r="L19" s="66">
        <v>3100</v>
      </c>
      <c r="M19" s="66">
        <v>3070</v>
      </c>
      <c r="N19" s="76">
        <f t="shared" si="6"/>
        <v>-30</v>
      </c>
    </row>
    <row r="20" spans="1:14" ht="33" customHeight="1" x14ac:dyDescent="0.25">
      <c r="A20" s="7">
        <v>10</v>
      </c>
      <c r="B20" s="75" t="s">
        <v>14</v>
      </c>
      <c r="C20" s="76">
        <f t="shared" si="4"/>
        <v>28962</v>
      </c>
      <c r="D20" s="76">
        <f t="shared" si="4"/>
        <v>32658</v>
      </c>
      <c r="E20" s="76">
        <f t="shared" si="1"/>
        <v>3696</v>
      </c>
      <c r="F20" s="66">
        <v>28962</v>
      </c>
      <c r="G20" s="66">
        <v>32658</v>
      </c>
      <c r="H20" s="76">
        <f t="shared" si="2"/>
        <v>3696</v>
      </c>
      <c r="I20" s="66">
        <v>0</v>
      </c>
      <c r="J20" s="66"/>
      <c r="K20" s="76">
        <f t="shared" si="5"/>
        <v>0</v>
      </c>
      <c r="L20" s="66">
        <v>0</v>
      </c>
      <c r="M20" s="66"/>
      <c r="N20" s="76">
        <f t="shared" si="6"/>
        <v>0</v>
      </c>
    </row>
    <row r="21" spans="1:14" ht="32.25" customHeight="1" x14ac:dyDescent="0.25">
      <c r="A21" s="7">
        <v>11</v>
      </c>
      <c r="B21" s="75" t="s">
        <v>15</v>
      </c>
      <c r="C21" s="76">
        <f t="shared" si="4"/>
        <v>54949</v>
      </c>
      <c r="D21" s="76">
        <f t="shared" si="4"/>
        <v>61337</v>
      </c>
      <c r="E21" s="76">
        <f t="shared" si="1"/>
        <v>6388</v>
      </c>
      <c r="F21" s="66">
        <v>0</v>
      </c>
      <c r="G21" s="66"/>
      <c r="H21" s="76">
        <f t="shared" si="2"/>
        <v>0</v>
      </c>
      <c r="I21" s="66">
        <v>52400</v>
      </c>
      <c r="J21" s="66">
        <v>58791</v>
      </c>
      <c r="K21" s="76">
        <f t="shared" si="5"/>
        <v>6391</v>
      </c>
      <c r="L21" s="66">
        <v>2549</v>
      </c>
      <c r="M21" s="66">
        <v>2546</v>
      </c>
      <c r="N21" s="76">
        <f t="shared" si="6"/>
        <v>-3</v>
      </c>
    </row>
    <row r="22" spans="1:14" ht="30.75" customHeight="1" x14ac:dyDescent="0.25">
      <c r="A22" s="7">
        <v>12</v>
      </c>
      <c r="B22" s="75" t="s">
        <v>16</v>
      </c>
      <c r="C22" s="76">
        <f t="shared" si="4"/>
        <v>11006</v>
      </c>
      <c r="D22" s="76">
        <f t="shared" si="4"/>
        <v>11921</v>
      </c>
      <c r="E22" s="76">
        <f t="shared" si="1"/>
        <v>915</v>
      </c>
      <c r="F22" s="66">
        <v>0</v>
      </c>
      <c r="G22" s="66"/>
      <c r="H22" s="76">
        <f t="shared" si="2"/>
        <v>0</v>
      </c>
      <c r="I22" s="66">
        <v>11006</v>
      </c>
      <c r="J22" s="66">
        <v>11921</v>
      </c>
      <c r="K22" s="76">
        <f t="shared" si="5"/>
        <v>915</v>
      </c>
      <c r="L22" s="66">
        <v>0</v>
      </c>
      <c r="M22" s="66"/>
      <c r="N22" s="76">
        <f t="shared" si="6"/>
        <v>0</v>
      </c>
    </row>
    <row r="23" spans="1:14" ht="31.5" customHeight="1" x14ac:dyDescent="0.25">
      <c r="A23" s="7">
        <v>13</v>
      </c>
      <c r="B23" s="75" t="s">
        <v>17</v>
      </c>
      <c r="C23" s="76">
        <f t="shared" si="4"/>
        <v>24866</v>
      </c>
      <c r="D23" s="76">
        <f t="shared" si="4"/>
        <v>29536</v>
      </c>
      <c r="E23" s="76">
        <f t="shared" si="1"/>
        <v>4670</v>
      </c>
      <c r="F23" s="66">
        <v>0</v>
      </c>
      <c r="G23" s="66"/>
      <c r="H23" s="76">
        <f t="shared" si="2"/>
        <v>0</v>
      </c>
      <c r="I23" s="66">
        <v>24866</v>
      </c>
      <c r="J23" s="66">
        <v>29536</v>
      </c>
      <c r="K23" s="76">
        <f t="shared" si="5"/>
        <v>4670</v>
      </c>
      <c r="L23" s="66">
        <v>0</v>
      </c>
      <c r="M23" s="66"/>
      <c r="N23" s="76">
        <f t="shared" si="6"/>
        <v>0</v>
      </c>
    </row>
    <row r="24" spans="1:14" ht="31.5" x14ac:dyDescent="0.25">
      <c r="A24" s="7">
        <v>14</v>
      </c>
      <c r="B24" s="75" t="s">
        <v>18</v>
      </c>
      <c r="C24" s="76">
        <f t="shared" si="4"/>
        <v>102235</v>
      </c>
      <c r="D24" s="76">
        <f t="shared" si="4"/>
        <v>94059</v>
      </c>
      <c r="E24" s="76">
        <f t="shared" si="1"/>
        <v>-8176</v>
      </c>
      <c r="F24" s="66">
        <v>0</v>
      </c>
      <c r="G24" s="66"/>
      <c r="H24" s="76">
        <f t="shared" si="2"/>
        <v>0</v>
      </c>
      <c r="I24" s="66">
        <v>63716</v>
      </c>
      <c r="J24" s="66">
        <v>53165</v>
      </c>
      <c r="K24" s="76">
        <f t="shared" si="5"/>
        <v>-10551</v>
      </c>
      <c r="L24" s="66">
        <v>38519</v>
      </c>
      <c r="M24" s="66">
        <v>40894</v>
      </c>
      <c r="N24" s="76">
        <f t="shared" si="6"/>
        <v>2375</v>
      </c>
    </row>
    <row r="25" spans="1:14" ht="31.5" x14ac:dyDescent="0.25">
      <c r="A25" s="7">
        <v>15</v>
      </c>
      <c r="B25" s="75" t="s">
        <v>19</v>
      </c>
      <c r="C25" s="76">
        <f t="shared" si="4"/>
        <v>230903</v>
      </c>
      <c r="D25" s="76">
        <f t="shared" si="4"/>
        <v>254063</v>
      </c>
      <c r="E25" s="76">
        <f t="shared" si="1"/>
        <v>23160</v>
      </c>
      <c r="F25" s="66">
        <v>0</v>
      </c>
      <c r="G25" s="66"/>
      <c r="H25" s="76">
        <f t="shared" si="2"/>
        <v>0</v>
      </c>
      <c r="I25" s="66">
        <v>218000</v>
      </c>
      <c r="J25" s="66">
        <v>242199</v>
      </c>
      <c r="K25" s="76">
        <f t="shared" si="5"/>
        <v>24199</v>
      </c>
      <c r="L25" s="66">
        <f>11600+1303</f>
        <v>12903</v>
      </c>
      <c r="M25" s="66">
        <f>10587+1277</f>
        <v>11864</v>
      </c>
      <c r="N25" s="76">
        <f t="shared" si="6"/>
        <v>-1039</v>
      </c>
    </row>
    <row r="26" spans="1:14" ht="32.25" customHeight="1" x14ac:dyDescent="0.25">
      <c r="A26" s="7">
        <v>16</v>
      </c>
      <c r="B26" s="75" t="s">
        <v>20</v>
      </c>
      <c r="C26" s="76">
        <f t="shared" si="4"/>
        <v>7241</v>
      </c>
      <c r="D26" s="76">
        <f t="shared" si="4"/>
        <v>7801</v>
      </c>
      <c r="E26" s="76">
        <f t="shared" si="1"/>
        <v>560</v>
      </c>
      <c r="F26" s="66">
        <v>0</v>
      </c>
      <c r="G26" s="66"/>
      <c r="H26" s="76">
        <f t="shared" si="2"/>
        <v>0</v>
      </c>
      <c r="I26" s="66">
        <v>7241</v>
      </c>
      <c r="J26" s="66">
        <v>7801</v>
      </c>
      <c r="K26" s="76">
        <f t="shared" si="5"/>
        <v>560</v>
      </c>
      <c r="L26" s="66">
        <v>0</v>
      </c>
      <c r="M26" s="66"/>
      <c r="N26" s="76">
        <f t="shared" si="6"/>
        <v>0</v>
      </c>
    </row>
    <row r="27" spans="1:14" ht="15" customHeight="1" x14ac:dyDescent="0.25">
      <c r="A27" s="7">
        <v>17</v>
      </c>
      <c r="B27" s="75" t="s">
        <v>21</v>
      </c>
      <c r="C27" s="76">
        <f t="shared" si="4"/>
        <v>2897</v>
      </c>
      <c r="D27" s="76">
        <f t="shared" si="4"/>
        <v>2976</v>
      </c>
      <c r="E27" s="76">
        <f t="shared" si="1"/>
        <v>79</v>
      </c>
      <c r="F27" s="66">
        <v>0</v>
      </c>
      <c r="G27" s="66"/>
      <c r="H27" s="76">
        <f t="shared" si="2"/>
        <v>0</v>
      </c>
      <c r="I27" s="66">
        <v>2607</v>
      </c>
      <c r="J27" s="66">
        <v>2776</v>
      </c>
      <c r="K27" s="76">
        <f t="shared" si="5"/>
        <v>169</v>
      </c>
      <c r="L27" s="66">
        <v>290</v>
      </c>
      <c r="M27" s="66">
        <v>200</v>
      </c>
      <c r="N27" s="76">
        <f t="shared" si="6"/>
        <v>-90</v>
      </c>
    </row>
    <row r="28" spans="1:14" ht="15" customHeight="1" x14ac:dyDescent="0.25">
      <c r="A28" s="7">
        <v>18</v>
      </c>
      <c r="B28" s="77" t="s">
        <v>22</v>
      </c>
      <c r="C28" s="76">
        <f t="shared" si="4"/>
        <v>137426</v>
      </c>
      <c r="D28" s="76">
        <f t="shared" si="4"/>
        <v>127892</v>
      </c>
      <c r="E28" s="76">
        <f t="shared" si="1"/>
        <v>-9534</v>
      </c>
      <c r="F28" s="66">
        <v>0</v>
      </c>
      <c r="G28" s="66"/>
      <c r="H28" s="76">
        <f t="shared" si="2"/>
        <v>0</v>
      </c>
      <c r="I28" s="66">
        <v>137426</v>
      </c>
      <c r="J28" s="66">
        <f>1705+126187</f>
        <v>127892</v>
      </c>
      <c r="K28" s="76">
        <f t="shared" si="5"/>
        <v>-9534</v>
      </c>
      <c r="L28" s="66">
        <v>0</v>
      </c>
      <c r="M28" s="66"/>
      <c r="N28" s="76">
        <f t="shared" si="6"/>
        <v>0</v>
      </c>
    </row>
    <row r="29" spans="1:14" ht="15" customHeight="1" x14ac:dyDescent="0.25">
      <c r="A29" s="7">
        <v>19</v>
      </c>
      <c r="B29" s="77" t="s">
        <v>23</v>
      </c>
      <c r="C29" s="76">
        <f t="shared" si="4"/>
        <v>350</v>
      </c>
      <c r="D29" s="76">
        <f t="shared" si="4"/>
        <v>441</v>
      </c>
      <c r="E29" s="76">
        <f t="shared" si="1"/>
        <v>91</v>
      </c>
      <c r="F29" s="66">
        <v>0</v>
      </c>
      <c r="G29" s="66"/>
      <c r="H29" s="76">
        <f t="shared" si="2"/>
        <v>0</v>
      </c>
      <c r="I29" s="66">
        <v>350</v>
      </c>
      <c r="J29" s="66">
        <v>441</v>
      </c>
      <c r="K29" s="76">
        <f t="shared" si="5"/>
        <v>91</v>
      </c>
      <c r="L29" s="66">
        <v>0</v>
      </c>
      <c r="M29" s="66"/>
      <c r="N29" s="76">
        <f t="shared" si="6"/>
        <v>0</v>
      </c>
    </row>
    <row r="30" spans="1:14" ht="15" customHeight="1" x14ac:dyDescent="0.25">
      <c r="A30" s="7">
        <v>20</v>
      </c>
      <c r="B30" s="77" t="s">
        <v>24</v>
      </c>
      <c r="C30" s="76">
        <f t="shared" si="4"/>
        <v>17381</v>
      </c>
      <c r="D30" s="76">
        <f t="shared" si="4"/>
        <v>17425</v>
      </c>
      <c r="E30" s="76">
        <f t="shared" si="1"/>
        <v>44</v>
      </c>
      <c r="F30" s="66">
        <v>0</v>
      </c>
      <c r="G30" s="66"/>
      <c r="H30" s="76">
        <f t="shared" si="2"/>
        <v>0</v>
      </c>
      <c r="I30" s="66">
        <v>17051</v>
      </c>
      <c r="J30" s="66">
        <f>1471+15628</f>
        <v>17099</v>
      </c>
      <c r="K30" s="76">
        <f t="shared" si="5"/>
        <v>48</v>
      </c>
      <c r="L30" s="66">
        <v>330</v>
      </c>
      <c r="M30" s="66">
        <v>326</v>
      </c>
      <c r="N30" s="76">
        <f t="shared" si="6"/>
        <v>-4</v>
      </c>
    </row>
    <row r="31" spans="1:14" ht="15" customHeight="1" x14ac:dyDescent="0.25">
      <c r="A31" s="7">
        <v>21</v>
      </c>
      <c r="B31" s="77" t="s">
        <v>110</v>
      </c>
      <c r="C31" s="76">
        <f t="shared" si="4"/>
        <v>608</v>
      </c>
      <c r="D31" s="76">
        <f t="shared" si="4"/>
        <v>600</v>
      </c>
      <c r="E31" s="76">
        <f t="shared" si="1"/>
        <v>-8</v>
      </c>
      <c r="F31" s="66">
        <v>0</v>
      </c>
      <c r="G31" s="66"/>
      <c r="H31" s="76">
        <f t="shared" si="2"/>
        <v>0</v>
      </c>
      <c r="I31" s="66">
        <v>608</v>
      </c>
      <c r="J31" s="66">
        <v>600</v>
      </c>
      <c r="K31" s="76">
        <f t="shared" si="5"/>
        <v>-8</v>
      </c>
      <c r="L31" s="66">
        <v>0</v>
      </c>
      <c r="M31" s="66"/>
      <c r="N31" s="76">
        <f t="shared" si="6"/>
        <v>0</v>
      </c>
    </row>
    <row r="32" spans="1:14" ht="15" customHeight="1" x14ac:dyDescent="0.25">
      <c r="A32" s="7">
        <v>22</v>
      </c>
      <c r="B32" s="77" t="s">
        <v>111</v>
      </c>
      <c r="C32" s="76">
        <f>F32+I32+L32</f>
        <v>1362</v>
      </c>
      <c r="D32" s="76">
        <f>G32+J32+M32</f>
        <v>988</v>
      </c>
      <c r="E32" s="76">
        <f>D32-C32</f>
        <v>-374</v>
      </c>
      <c r="F32" s="66">
        <v>0</v>
      </c>
      <c r="G32" s="66"/>
      <c r="H32" s="76">
        <f t="shared" si="2"/>
        <v>0</v>
      </c>
      <c r="I32" s="66">
        <v>579</v>
      </c>
      <c r="J32" s="66">
        <v>205</v>
      </c>
      <c r="K32" s="76">
        <f t="shared" si="5"/>
        <v>-374</v>
      </c>
      <c r="L32" s="66">
        <v>783</v>
      </c>
      <c r="M32" s="66">
        <v>783</v>
      </c>
      <c r="N32" s="76">
        <f t="shared" si="6"/>
        <v>0</v>
      </c>
    </row>
    <row r="33" spans="1:14" x14ac:dyDescent="0.25">
      <c r="A33" s="7">
        <v>23</v>
      </c>
      <c r="B33" s="77" t="s">
        <v>25</v>
      </c>
      <c r="C33" s="76">
        <f t="shared" si="4"/>
        <v>1688</v>
      </c>
      <c r="D33" s="76">
        <f t="shared" si="4"/>
        <v>1256</v>
      </c>
      <c r="E33" s="76">
        <f t="shared" si="1"/>
        <v>-432</v>
      </c>
      <c r="F33" s="66">
        <v>0</v>
      </c>
      <c r="G33" s="66"/>
      <c r="H33" s="76">
        <f t="shared" si="2"/>
        <v>0</v>
      </c>
      <c r="I33" s="66">
        <v>898</v>
      </c>
      <c r="J33" s="66">
        <v>714</v>
      </c>
      <c r="K33" s="76">
        <f t="shared" si="5"/>
        <v>-184</v>
      </c>
      <c r="L33" s="66">
        <v>790</v>
      </c>
      <c r="M33" s="66">
        <v>542</v>
      </c>
      <c r="N33" s="76">
        <f t="shared" si="6"/>
        <v>-248</v>
      </c>
    </row>
    <row r="34" spans="1:14" ht="15" customHeight="1" x14ac:dyDescent="0.25">
      <c r="A34" s="7">
        <v>24</v>
      </c>
      <c r="B34" s="77" t="s">
        <v>26</v>
      </c>
      <c r="C34" s="76">
        <f t="shared" si="4"/>
        <v>172251</v>
      </c>
      <c r="D34" s="76">
        <f t="shared" si="4"/>
        <v>169870</v>
      </c>
      <c r="E34" s="76">
        <f t="shared" si="1"/>
        <v>-2381</v>
      </c>
      <c r="F34" s="66">
        <v>36089</v>
      </c>
      <c r="G34" s="66">
        <v>29410</v>
      </c>
      <c r="H34" s="76">
        <f t="shared" si="2"/>
        <v>-6679</v>
      </c>
      <c r="I34" s="66">
        <v>136162</v>
      </c>
      <c r="J34" s="66">
        <f>1852+138608</f>
        <v>140460</v>
      </c>
      <c r="K34" s="76">
        <f t="shared" si="5"/>
        <v>4298</v>
      </c>
      <c r="L34" s="66">
        <v>0</v>
      </c>
      <c r="M34" s="66"/>
      <c r="N34" s="76">
        <f t="shared" si="6"/>
        <v>0</v>
      </c>
    </row>
    <row r="35" spans="1:14" ht="16.5" customHeight="1" x14ac:dyDescent="0.25">
      <c r="A35" s="7">
        <v>25</v>
      </c>
      <c r="B35" s="77" t="s">
        <v>27</v>
      </c>
      <c r="C35" s="76">
        <f t="shared" si="4"/>
        <v>3005</v>
      </c>
      <c r="D35" s="76">
        <f t="shared" si="4"/>
        <v>2062</v>
      </c>
      <c r="E35" s="76">
        <f t="shared" si="1"/>
        <v>-943</v>
      </c>
      <c r="F35" s="66">
        <v>0</v>
      </c>
      <c r="G35" s="66"/>
      <c r="H35" s="76">
        <f t="shared" si="2"/>
        <v>0</v>
      </c>
      <c r="I35" s="66">
        <v>3005</v>
      </c>
      <c r="J35" s="66">
        <v>2062</v>
      </c>
      <c r="K35" s="76">
        <f t="shared" si="5"/>
        <v>-943</v>
      </c>
      <c r="L35" s="66">
        <v>0</v>
      </c>
      <c r="M35" s="66"/>
      <c r="N35" s="76">
        <f t="shared" si="6"/>
        <v>0</v>
      </c>
    </row>
    <row r="36" spans="1:14" ht="15" customHeight="1" x14ac:dyDescent="0.25">
      <c r="A36" s="7">
        <v>26</v>
      </c>
      <c r="B36" s="77" t="s">
        <v>112</v>
      </c>
      <c r="C36" s="76">
        <f t="shared" si="4"/>
        <v>193000</v>
      </c>
      <c r="D36" s="76">
        <f t="shared" si="4"/>
        <v>183634</v>
      </c>
      <c r="E36" s="76">
        <f t="shared" si="1"/>
        <v>-9366</v>
      </c>
      <c r="F36" s="66">
        <v>115000</v>
      </c>
      <c r="G36" s="66">
        <v>105263</v>
      </c>
      <c r="H36" s="76">
        <f t="shared" si="2"/>
        <v>-9737</v>
      </c>
      <c r="I36" s="66">
        <v>78000</v>
      </c>
      <c r="J36" s="66">
        <f>1570+76801</f>
        <v>78371</v>
      </c>
      <c r="K36" s="76">
        <f t="shared" si="5"/>
        <v>371</v>
      </c>
      <c r="L36" s="66">
        <v>0</v>
      </c>
      <c r="M36" s="66"/>
      <c r="N36" s="76">
        <f t="shared" si="6"/>
        <v>0</v>
      </c>
    </row>
    <row r="37" spans="1:14" ht="17.25" customHeight="1" x14ac:dyDescent="0.25">
      <c r="A37" s="7">
        <v>27</v>
      </c>
      <c r="B37" s="77" t="s">
        <v>28</v>
      </c>
      <c r="C37" s="76">
        <f t="shared" si="4"/>
        <v>54300</v>
      </c>
      <c r="D37" s="76">
        <f t="shared" si="4"/>
        <v>57044</v>
      </c>
      <c r="E37" s="76">
        <f t="shared" si="1"/>
        <v>2744</v>
      </c>
      <c r="F37" s="66">
        <v>0</v>
      </c>
      <c r="G37" s="66"/>
      <c r="H37" s="76">
        <f t="shared" si="2"/>
        <v>0</v>
      </c>
      <c r="I37" s="66">
        <v>54300</v>
      </c>
      <c r="J37" s="66">
        <f>4020+53024</f>
        <v>57044</v>
      </c>
      <c r="K37" s="76">
        <f t="shared" si="5"/>
        <v>2744</v>
      </c>
      <c r="L37" s="66">
        <v>0</v>
      </c>
      <c r="M37" s="66"/>
      <c r="N37" s="76">
        <f t="shared" si="6"/>
        <v>0</v>
      </c>
    </row>
    <row r="38" spans="1:14" ht="17.25" customHeight="1" x14ac:dyDescent="0.25">
      <c r="A38" s="7">
        <v>28</v>
      </c>
      <c r="B38" s="77" t="s">
        <v>29</v>
      </c>
      <c r="C38" s="76">
        <f t="shared" si="4"/>
        <v>9963</v>
      </c>
      <c r="D38" s="76">
        <f t="shared" si="4"/>
        <v>10684</v>
      </c>
      <c r="E38" s="76">
        <f t="shared" si="1"/>
        <v>721</v>
      </c>
      <c r="F38" s="66">
        <v>7588</v>
      </c>
      <c r="G38" s="66">
        <v>8774</v>
      </c>
      <c r="H38" s="76">
        <f t="shared" si="2"/>
        <v>1186</v>
      </c>
      <c r="I38" s="66">
        <v>2375</v>
      </c>
      <c r="J38" s="66">
        <v>1910</v>
      </c>
      <c r="K38" s="76">
        <f t="shared" si="5"/>
        <v>-465</v>
      </c>
      <c r="L38" s="66">
        <v>0</v>
      </c>
      <c r="M38" s="66"/>
      <c r="N38" s="76">
        <f t="shared" si="6"/>
        <v>0</v>
      </c>
    </row>
    <row r="39" spans="1:14" ht="33" customHeight="1" x14ac:dyDescent="0.25">
      <c r="A39" s="7">
        <v>29</v>
      </c>
      <c r="B39" s="77" t="s">
        <v>30</v>
      </c>
      <c r="C39" s="76">
        <f t="shared" si="4"/>
        <v>82291</v>
      </c>
      <c r="D39" s="76">
        <f t="shared" si="4"/>
        <v>93887</v>
      </c>
      <c r="E39" s="76">
        <f t="shared" si="1"/>
        <v>11596</v>
      </c>
      <c r="F39" s="66">
        <v>6700</v>
      </c>
      <c r="G39" s="66">
        <v>6644</v>
      </c>
      <c r="H39" s="76">
        <f t="shared" si="2"/>
        <v>-56</v>
      </c>
      <c r="I39" s="66">
        <v>75591</v>
      </c>
      <c r="J39" s="66">
        <f>3318+83925</f>
        <v>87243</v>
      </c>
      <c r="K39" s="76">
        <f t="shared" si="5"/>
        <v>11652</v>
      </c>
      <c r="L39" s="66">
        <v>0</v>
      </c>
      <c r="M39" s="66"/>
      <c r="N39" s="76">
        <f t="shared" si="6"/>
        <v>0</v>
      </c>
    </row>
    <row r="40" spans="1:14" ht="17.25" customHeight="1" x14ac:dyDescent="0.25">
      <c r="A40" s="7">
        <v>30</v>
      </c>
      <c r="B40" s="77" t="s">
        <v>31</v>
      </c>
      <c r="C40" s="76">
        <f t="shared" si="4"/>
        <v>10625</v>
      </c>
      <c r="D40" s="76">
        <f t="shared" si="4"/>
        <v>6972</v>
      </c>
      <c r="E40" s="76">
        <f t="shared" si="1"/>
        <v>-3653</v>
      </c>
      <c r="F40" s="66">
        <v>5155</v>
      </c>
      <c r="G40" s="66">
        <v>3037</v>
      </c>
      <c r="H40" s="76">
        <f t="shared" si="2"/>
        <v>-2118</v>
      </c>
      <c r="I40" s="66">
        <v>5000</v>
      </c>
      <c r="J40" s="66">
        <v>3454</v>
      </c>
      <c r="K40" s="76">
        <f t="shared" si="5"/>
        <v>-1546</v>
      </c>
      <c r="L40" s="66">
        <v>470</v>
      </c>
      <c r="M40" s="66">
        <v>481</v>
      </c>
      <c r="N40" s="76">
        <f t="shared" si="6"/>
        <v>11</v>
      </c>
    </row>
    <row r="41" spans="1:14" ht="15" customHeight="1" x14ac:dyDescent="0.25">
      <c r="A41" s="7">
        <v>31</v>
      </c>
      <c r="B41" s="77" t="s">
        <v>113</v>
      </c>
      <c r="C41" s="76">
        <f t="shared" si="4"/>
        <v>9702</v>
      </c>
      <c r="D41" s="76">
        <f t="shared" si="4"/>
        <v>9537</v>
      </c>
      <c r="E41" s="76">
        <f t="shared" si="1"/>
        <v>-165</v>
      </c>
      <c r="F41" s="66">
        <v>9702</v>
      </c>
      <c r="G41" s="66">
        <v>9537</v>
      </c>
      <c r="H41" s="76">
        <f t="shared" si="2"/>
        <v>-165</v>
      </c>
      <c r="I41" s="66">
        <v>0</v>
      </c>
      <c r="J41" s="66"/>
      <c r="K41" s="76">
        <f t="shared" si="5"/>
        <v>0</v>
      </c>
      <c r="L41" s="66">
        <v>0</v>
      </c>
      <c r="M41" s="66"/>
      <c r="N41" s="76">
        <f t="shared" si="6"/>
        <v>0</v>
      </c>
    </row>
    <row r="42" spans="1:14" ht="15" customHeight="1" x14ac:dyDescent="0.25">
      <c r="A42" s="7">
        <v>32</v>
      </c>
      <c r="B42" s="77" t="s">
        <v>32</v>
      </c>
      <c r="C42" s="76">
        <f t="shared" si="4"/>
        <v>4100</v>
      </c>
      <c r="D42" s="76">
        <f t="shared" si="4"/>
        <v>2777</v>
      </c>
      <c r="E42" s="76">
        <f t="shared" si="1"/>
        <v>-1323</v>
      </c>
      <c r="F42" s="66">
        <v>0</v>
      </c>
      <c r="G42" s="66"/>
      <c r="H42" s="76">
        <f t="shared" si="2"/>
        <v>0</v>
      </c>
      <c r="I42" s="66">
        <v>2500</v>
      </c>
      <c r="J42" s="66">
        <v>2492</v>
      </c>
      <c r="K42" s="76">
        <f t="shared" si="5"/>
        <v>-8</v>
      </c>
      <c r="L42" s="66">
        <v>1600</v>
      </c>
      <c r="M42" s="66">
        <v>285</v>
      </c>
      <c r="N42" s="76">
        <f t="shared" si="6"/>
        <v>-1315</v>
      </c>
    </row>
    <row r="43" spans="1:14" ht="15" customHeight="1" x14ac:dyDescent="0.25">
      <c r="A43" s="7">
        <v>33</v>
      </c>
      <c r="B43" s="77" t="s">
        <v>33</v>
      </c>
      <c r="C43" s="76">
        <f t="shared" si="4"/>
        <v>77012</v>
      </c>
      <c r="D43" s="76">
        <f t="shared" si="4"/>
        <v>78976</v>
      </c>
      <c r="E43" s="76">
        <f t="shared" si="1"/>
        <v>1964</v>
      </c>
      <c r="F43" s="66">
        <v>4200</v>
      </c>
      <c r="G43" s="66">
        <v>3013</v>
      </c>
      <c r="H43" s="76">
        <f t="shared" si="2"/>
        <v>-1187</v>
      </c>
      <c r="I43" s="66">
        <v>72812</v>
      </c>
      <c r="J43" s="66">
        <f>1468+74495</f>
        <v>75963</v>
      </c>
      <c r="K43" s="76">
        <f t="shared" si="5"/>
        <v>3151</v>
      </c>
      <c r="L43" s="66">
        <v>0</v>
      </c>
      <c r="M43" s="66"/>
      <c r="N43" s="76">
        <f t="shared" si="6"/>
        <v>0</v>
      </c>
    </row>
    <row r="44" spans="1:14" ht="15" customHeight="1" x14ac:dyDescent="0.25">
      <c r="A44" s="7">
        <v>34</v>
      </c>
      <c r="B44" s="77" t="s">
        <v>34</v>
      </c>
      <c r="C44" s="76">
        <f t="shared" si="4"/>
        <v>5502</v>
      </c>
      <c r="D44" s="76">
        <f t="shared" si="4"/>
        <v>5211</v>
      </c>
      <c r="E44" s="76">
        <f t="shared" si="1"/>
        <v>-291</v>
      </c>
      <c r="F44" s="66">
        <v>4344</v>
      </c>
      <c r="G44" s="66">
        <v>4053</v>
      </c>
      <c r="H44" s="76">
        <f t="shared" si="2"/>
        <v>-291</v>
      </c>
      <c r="I44" s="66">
        <v>1158</v>
      </c>
      <c r="J44" s="66">
        <v>1158</v>
      </c>
      <c r="K44" s="76">
        <f t="shared" si="5"/>
        <v>0</v>
      </c>
      <c r="L44" s="66">
        <v>0</v>
      </c>
      <c r="M44" s="66"/>
      <c r="N44" s="76">
        <f t="shared" si="6"/>
        <v>0</v>
      </c>
    </row>
    <row r="45" spans="1:14" ht="18.75" customHeight="1" x14ac:dyDescent="0.25">
      <c r="A45" s="7">
        <v>35</v>
      </c>
      <c r="B45" s="77" t="s">
        <v>35</v>
      </c>
      <c r="C45" s="76">
        <f t="shared" si="4"/>
        <v>66290</v>
      </c>
      <c r="D45" s="76">
        <f t="shared" si="4"/>
        <v>57759</v>
      </c>
      <c r="E45" s="76">
        <f t="shared" si="1"/>
        <v>-8531</v>
      </c>
      <c r="F45" s="66">
        <v>0</v>
      </c>
      <c r="G45" s="66"/>
      <c r="H45" s="76">
        <f t="shared" si="2"/>
        <v>0</v>
      </c>
      <c r="I45" s="66">
        <v>66290</v>
      </c>
      <c r="J45" s="66">
        <f>1099+56660</f>
        <v>57759</v>
      </c>
      <c r="K45" s="76">
        <f t="shared" si="5"/>
        <v>-8531</v>
      </c>
      <c r="L45" s="66">
        <v>0</v>
      </c>
      <c r="M45" s="66"/>
      <c r="N45" s="76">
        <f t="shared" si="6"/>
        <v>0</v>
      </c>
    </row>
    <row r="46" spans="1:14" ht="15" customHeight="1" x14ac:dyDescent="0.25">
      <c r="A46" s="7">
        <v>36</v>
      </c>
      <c r="B46" s="77" t="s">
        <v>36</v>
      </c>
      <c r="C46" s="76">
        <f t="shared" si="4"/>
        <v>24120</v>
      </c>
      <c r="D46" s="76">
        <f t="shared" si="4"/>
        <v>26014</v>
      </c>
      <c r="E46" s="76">
        <f t="shared" si="1"/>
        <v>1894</v>
      </c>
      <c r="F46" s="66">
        <v>2900</v>
      </c>
      <c r="G46" s="66">
        <v>2525</v>
      </c>
      <c r="H46" s="76">
        <f t="shared" si="2"/>
        <v>-375</v>
      </c>
      <c r="I46" s="66">
        <v>21220</v>
      </c>
      <c r="J46" s="66">
        <v>23489</v>
      </c>
      <c r="K46" s="76">
        <f t="shared" si="5"/>
        <v>2269</v>
      </c>
      <c r="L46" s="66">
        <v>0</v>
      </c>
      <c r="M46" s="66"/>
      <c r="N46" s="76">
        <f t="shared" si="6"/>
        <v>0</v>
      </c>
    </row>
    <row r="47" spans="1:14" ht="18" customHeight="1" x14ac:dyDescent="0.25">
      <c r="A47" s="7">
        <v>37</v>
      </c>
      <c r="B47" s="77" t="s">
        <v>37</v>
      </c>
      <c r="C47" s="76">
        <f t="shared" si="4"/>
        <v>28600</v>
      </c>
      <c r="D47" s="76">
        <f t="shared" si="4"/>
        <v>29076</v>
      </c>
      <c r="E47" s="76">
        <f t="shared" si="1"/>
        <v>476</v>
      </c>
      <c r="F47" s="66">
        <v>27800</v>
      </c>
      <c r="G47" s="66">
        <v>28199</v>
      </c>
      <c r="H47" s="76">
        <f t="shared" si="2"/>
        <v>399</v>
      </c>
      <c r="I47" s="66">
        <v>800</v>
      </c>
      <c r="J47" s="66">
        <v>877</v>
      </c>
      <c r="K47" s="76">
        <f t="shared" si="5"/>
        <v>77</v>
      </c>
      <c r="L47" s="66">
        <v>0</v>
      </c>
      <c r="M47" s="66"/>
      <c r="N47" s="76">
        <f t="shared" si="6"/>
        <v>0</v>
      </c>
    </row>
    <row r="48" spans="1:14" ht="15" customHeight="1" x14ac:dyDescent="0.25">
      <c r="A48" s="7">
        <v>38</v>
      </c>
      <c r="B48" s="77" t="s">
        <v>38</v>
      </c>
      <c r="C48" s="76">
        <f t="shared" si="4"/>
        <v>2300</v>
      </c>
      <c r="D48" s="76">
        <f t="shared" si="4"/>
        <v>2099</v>
      </c>
      <c r="E48" s="76">
        <f t="shared" si="1"/>
        <v>-201</v>
      </c>
      <c r="F48" s="66">
        <v>0</v>
      </c>
      <c r="G48" s="66"/>
      <c r="H48" s="76">
        <f t="shared" si="2"/>
        <v>0</v>
      </c>
      <c r="I48" s="66">
        <v>1600</v>
      </c>
      <c r="J48" s="66">
        <v>1440</v>
      </c>
      <c r="K48" s="76">
        <f t="shared" si="5"/>
        <v>-160</v>
      </c>
      <c r="L48" s="66">
        <v>700</v>
      </c>
      <c r="M48" s="66">
        <v>659</v>
      </c>
      <c r="N48" s="76">
        <f t="shared" si="6"/>
        <v>-41</v>
      </c>
    </row>
    <row r="49" spans="1:14" ht="14.25" customHeight="1" x14ac:dyDescent="0.25">
      <c r="A49" s="7">
        <v>39</v>
      </c>
      <c r="B49" s="77" t="s">
        <v>39</v>
      </c>
      <c r="C49" s="76">
        <f t="shared" si="4"/>
        <v>115029</v>
      </c>
      <c r="D49" s="76">
        <f t="shared" si="4"/>
        <v>111654</v>
      </c>
      <c r="E49" s="76">
        <f t="shared" si="1"/>
        <v>-3375</v>
      </c>
      <c r="F49" s="66">
        <v>2143</v>
      </c>
      <c r="G49" s="66"/>
      <c r="H49" s="76">
        <f t="shared" si="2"/>
        <v>-2143</v>
      </c>
      <c r="I49" s="66">
        <v>112886</v>
      </c>
      <c r="J49" s="66">
        <v>111654</v>
      </c>
      <c r="K49" s="76">
        <f t="shared" si="5"/>
        <v>-1232</v>
      </c>
      <c r="L49" s="66">
        <v>0</v>
      </c>
      <c r="M49" s="66"/>
      <c r="N49" s="76">
        <f t="shared" si="6"/>
        <v>0</v>
      </c>
    </row>
    <row r="50" spans="1:14" x14ac:dyDescent="0.25">
      <c r="A50" s="7">
        <v>40</v>
      </c>
      <c r="B50" s="77" t="s">
        <v>268</v>
      </c>
      <c r="C50" s="76">
        <f t="shared" si="4"/>
        <v>64400</v>
      </c>
      <c r="D50" s="76">
        <f t="shared" si="4"/>
        <v>63711</v>
      </c>
      <c r="E50" s="76">
        <f t="shared" si="1"/>
        <v>-689</v>
      </c>
      <c r="F50" s="66">
        <v>0</v>
      </c>
      <c r="G50" s="66"/>
      <c r="H50" s="76">
        <f t="shared" si="2"/>
        <v>0</v>
      </c>
      <c r="I50" s="66">
        <v>64400</v>
      </c>
      <c r="J50" s="66">
        <f>2066+61645</f>
        <v>63711</v>
      </c>
      <c r="K50" s="76">
        <f t="shared" si="5"/>
        <v>-689</v>
      </c>
      <c r="L50" s="66">
        <v>0</v>
      </c>
      <c r="M50" s="66"/>
      <c r="N50" s="76">
        <f t="shared" si="6"/>
        <v>0</v>
      </c>
    </row>
    <row r="51" spans="1:14" x14ac:dyDescent="0.25">
      <c r="A51" s="7">
        <v>41</v>
      </c>
      <c r="B51" s="77" t="s">
        <v>40</v>
      </c>
      <c r="C51" s="76">
        <f t="shared" si="4"/>
        <v>47575</v>
      </c>
      <c r="D51" s="76">
        <f t="shared" si="4"/>
        <v>49861</v>
      </c>
      <c r="E51" s="76">
        <f t="shared" si="1"/>
        <v>2286</v>
      </c>
      <c r="F51" s="66">
        <v>26510</v>
      </c>
      <c r="G51" s="66">
        <v>25885</v>
      </c>
      <c r="H51" s="76">
        <f t="shared" si="2"/>
        <v>-625</v>
      </c>
      <c r="I51" s="66">
        <v>21065</v>
      </c>
      <c r="J51" s="66">
        <v>23976</v>
      </c>
      <c r="K51" s="76">
        <f t="shared" si="5"/>
        <v>2911</v>
      </c>
      <c r="L51" s="66">
        <v>0</v>
      </c>
      <c r="M51" s="66"/>
      <c r="N51" s="76">
        <f t="shared" si="6"/>
        <v>0</v>
      </c>
    </row>
    <row r="52" spans="1:14" ht="15.75" customHeight="1" x14ac:dyDescent="0.25">
      <c r="A52" s="7">
        <v>42</v>
      </c>
      <c r="B52" s="77" t="s">
        <v>41</v>
      </c>
      <c r="C52" s="76">
        <f t="shared" si="4"/>
        <v>10786</v>
      </c>
      <c r="D52" s="76">
        <f t="shared" si="4"/>
        <v>11360</v>
      </c>
      <c r="E52" s="76">
        <f t="shared" si="1"/>
        <v>574</v>
      </c>
      <c r="F52" s="66">
        <v>7600</v>
      </c>
      <c r="G52" s="66">
        <v>7955</v>
      </c>
      <c r="H52" s="76">
        <f t="shared" si="2"/>
        <v>355</v>
      </c>
      <c r="I52" s="66">
        <v>3186</v>
      </c>
      <c r="J52" s="66">
        <v>3405</v>
      </c>
      <c r="K52" s="76">
        <f t="shared" si="5"/>
        <v>219</v>
      </c>
      <c r="L52" s="66">
        <v>0</v>
      </c>
      <c r="M52" s="66"/>
      <c r="N52" s="76">
        <f t="shared" si="6"/>
        <v>0</v>
      </c>
    </row>
    <row r="53" spans="1:14" ht="19.5" customHeight="1" x14ac:dyDescent="0.25">
      <c r="A53" s="7">
        <v>43</v>
      </c>
      <c r="B53" s="77" t="s">
        <v>360</v>
      </c>
      <c r="C53" s="76">
        <f t="shared" si="4"/>
        <v>4245</v>
      </c>
      <c r="D53" s="76">
        <f t="shared" si="4"/>
        <v>4238</v>
      </c>
      <c r="E53" s="76">
        <f t="shared" si="1"/>
        <v>-7</v>
      </c>
      <c r="F53" s="66">
        <v>0</v>
      </c>
      <c r="G53" s="66"/>
      <c r="H53" s="76">
        <f t="shared" si="2"/>
        <v>0</v>
      </c>
      <c r="I53" s="66">
        <v>3000</v>
      </c>
      <c r="J53" s="66">
        <v>3013</v>
      </c>
      <c r="K53" s="76">
        <f t="shared" si="5"/>
        <v>13</v>
      </c>
      <c r="L53" s="66">
        <v>1245</v>
      </c>
      <c r="M53" s="66">
        <v>1225</v>
      </c>
      <c r="N53" s="76">
        <f t="shared" si="6"/>
        <v>-20</v>
      </c>
    </row>
    <row r="54" spans="1:14" ht="18" customHeight="1" x14ac:dyDescent="0.25">
      <c r="A54" s="7">
        <v>44</v>
      </c>
      <c r="B54" s="77" t="s">
        <v>42</v>
      </c>
      <c r="C54" s="76">
        <f t="shared" si="4"/>
        <v>1072</v>
      </c>
      <c r="D54" s="76">
        <f t="shared" si="4"/>
        <v>930</v>
      </c>
      <c r="E54" s="76">
        <f t="shared" si="1"/>
        <v>-142</v>
      </c>
      <c r="F54" s="66">
        <v>0</v>
      </c>
      <c r="G54" s="66"/>
      <c r="H54" s="76">
        <f t="shared" si="2"/>
        <v>0</v>
      </c>
      <c r="I54" s="66">
        <v>1072</v>
      </c>
      <c r="J54" s="66">
        <v>930</v>
      </c>
      <c r="K54" s="76">
        <f t="shared" si="5"/>
        <v>-142</v>
      </c>
      <c r="L54" s="66">
        <v>0</v>
      </c>
      <c r="M54" s="66"/>
      <c r="N54" s="76">
        <f t="shared" si="6"/>
        <v>0</v>
      </c>
    </row>
    <row r="55" spans="1:14" ht="15" customHeight="1" x14ac:dyDescent="0.25">
      <c r="A55" s="7">
        <v>45</v>
      </c>
      <c r="B55" s="77" t="s">
        <v>114</v>
      </c>
      <c r="C55" s="76">
        <f t="shared" si="4"/>
        <v>9100</v>
      </c>
      <c r="D55" s="76">
        <f t="shared" si="4"/>
        <v>8275</v>
      </c>
      <c r="E55" s="76">
        <f t="shared" si="1"/>
        <v>-825</v>
      </c>
      <c r="F55" s="66">
        <v>4800</v>
      </c>
      <c r="G55" s="66">
        <v>4666</v>
      </c>
      <c r="H55" s="76">
        <f t="shared" si="2"/>
        <v>-134</v>
      </c>
      <c r="I55" s="66">
        <v>2200</v>
      </c>
      <c r="J55" s="66">
        <v>2982</v>
      </c>
      <c r="K55" s="76">
        <f t="shared" si="5"/>
        <v>782</v>
      </c>
      <c r="L55" s="66">
        <v>2100</v>
      </c>
      <c r="M55" s="66">
        <v>627</v>
      </c>
      <c r="N55" s="76">
        <f t="shared" si="6"/>
        <v>-1473</v>
      </c>
    </row>
    <row r="56" spans="1:14" ht="19.5" customHeight="1" x14ac:dyDescent="0.25">
      <c r="A56" s="7">
        <v>46</v>
      </c>
      <c r="B56" s="77" t="s">
        <v>269</v>
      </c>
      <c r="C56" s="76">
        <f t="shared" si="4"/>
        <v>3775</v>
      </c>
      <c r="D56" s="76">
        <f t="shared" si="4"/>
        <v>3138</v>
      </c>
      <c r="E56" s="76">
        <f t="shared" si="1"/>
        <v>-637</v>
      </c>
      <c r="F56" s="66">
        <v>579</v>
      </c>
      <c r="G56" s="66">
        <v>231</v>
      </c>
      <c r="H56" s="76">
        <f t="shared" si="2"/>
        <v>-348</v>
      </c>
      <c r="I56" s="66">
        <v>300</v>
      </c>
      <c r="J56" s="66">
        <v>266</v>
      </c>
      <c r="K56" s="76">
        <f t="shared" si="5"/>
        <v>-34</v>
      </c>
      <c r="L56" s="66">
        <v>2896</v>
      </c>
      <c r="M56" s="66">
        <v>2641</v>
      </c>
      <c r="N56" s="76">
        <f t="shared" si="6"/>
        <v>-255</v>
      </c>
    </row>
    <row r="57" spans="1:14" ht="15" customHeight="1" x14ac:dyDescent="0.25">
      <c r="A57" s="7" t="s">
        <v>361</v>
      </c>
      <c r="B57" s="77" t="s">
        <v>43</v>
      </c>
      <c r="C57" s="76">
        <f t="shared" si="4"/>
        <v>91972</v>
      </c>
      <c r="D57" s="76">
        <f t="shared" si="4"/>
        <v>96550</v>
      </c>
      <c r="E57" s="76">
        <f t="shared" si="1"/>
        <v>4578</v>
      </c>
      <c r="F57" s="66">
        <v>90372</v>
      </c>
      <c r="G57" s="66">
        <v>94999</v>
      </c>
      <c r="H57" s="76">
        <f t="shared" si="2"/>
        <v>4627</v>
      </c>
      <c r="I57" s="66">
        <v>1600</v>
      </c>
      <c r="J57" s="66">
        <v>1551</v>
      </c>
      <c r="K57" s="76">
        <f t="shared" si="5"/>
        <v>-49</v>
      </c>
      <c r="L57" s="66">
        <v>0</v>
      </c>
      <c r="M57" s="66"/>
      <c r="N57" s="76">
        <f t="shared" si="6"/>
        <v>0</v>
      </c>
    </row>
    <row r="58" spans="1:14" ht="17.25" customHeight="1" x14ac:dyDescent="0.25">
      <c r="A58" s="7" t="s">
        <v>362</v>
      </c>
      <c r="B58" s="77" t="s">
        <v>44</v>
      </c>
      <c r="C58" s="76">
        <f t="shared" si="4"/>
        <v>67905</v>
      </c>
      <c r="D58" s="76">
        <f t="shared" si="4"/>
        <v>73022</v>
      </c>
      <c r="E58" s="76">
        <f t="shared" si="1"/>
        <v>5117</v>
      </c>
      <c r="F58" s="66">
        <v>67500</v>
      </c>
      <c r="G58" s="66">
        <v>72830</v>
      </c>
      <c r="H58" s="76">
        <f t="shared" si="2"/>
        <v>5330</v>
      </c>
      <c r="I58" s="66">
        <v>405</v>
      </c>
      <c r="J58" s="66">
        <v>192</v>
      </c>
      <c r="K58" s="76">
        <f t="shared" si="5"/>
        <v>-213</v>
      </c>
      <c r="L58" s="66">
        <v>0</v>
      </c>
      <c r="M58" s="66"/>
      <c r="N58" s="76">
        <f t="shared" si="6"/>
        <v>0</v>
      </c>
    </row>
    <row r="59" spans="1:14" ht="15" customHeight="1" x14ac:dyDescent="0.25">
      <c r="A59" s="7" t="s">
        <v>363</v>
      </c>
      <c r="B59" s="77" t="s">
        <v>45</v>
      </c>
      <c r="C59" s="76">
        <f t="shared" si="4"/>
        <v>76576</v>
      </c>
      <c r="D59" s="76">
        <f t="shared" si="4"/>
        <v>81630</v>
      </c>
      <c r="E59" s="76">
        <f t="shared" si="1"/>
        <v>5054</v>
      </c>
      <c r="F59" s="66">
        <v>75876</v>
      </c>
      <c r="G59" s="66">
        <v>80943</v>
      </c>
      <c r="H59" s="76">
        <f t="shared" si="2"/>
        <v>5067</v>
      </c>
      <c r="I59" s="66">
        <v>700</v>
      </c>
      <c r="J59" s="66">
        <v>687</v>
      </c>
      <c r="K59" s="76">
        <f t="shared" si="5"/>
        <v>-13</v>
      </c>
      <c r="L59" s="66">
        <v>0</v>
      </c>
      <c r="M59" s="66"/>
      <c r="N59" s="76">
        <f t="shared" si="6"/>
        <v>0</v>
      </c>
    </row>
    <row r="60" spans="1:14" ht="15" customHeight="1" x14ac:dyDescent="0.25">
      <c r="A60" s="7" t="s">
        <v>364</v>
      </c>
      <c r="B60" s="77" t="s">
        <v>46</v>
      </c>
      <c r="C60" s="76">
        <f t="shared" si="4"/>
        <v>110716</v>
      </c>
      <c r="D60" s="76">
        <f t="shared" si="4"/>
        <v>117550</v>
      </c>
      <c r="E60" s="76">
        <f t="shared" si="1"/>
        <v>6834</v>
      </c>
      <c r="F60" s="66">
        <v>109418</v>
      </c>
      <c r="G60" s="66">
        <v>116113</v>
      </c>
      <c r="H60" s="76">
        <f t="shared" si="2"/>
        <v>6695</v>
      </c>
      <c r="I60" s="66">
        <v>1298</v>
      </c>
      <c r="J60" s="66">
        <v>1437</v>
      </c>
      <c r="K60" s="76">
        <f t="shared" si="5"/>
        <v>139</v>
      </c>
      <c r="L60" s="66">
        <v>0</v>
      </c>
      <c r="M60" s="66"/>
      <c r="N60" s="76">
        <f t="shared" si="6"/>
        <v>0</v>
      </c>
    </row>
    <row r="61" spans="1:14" ht="15" customHeight="1" x14ac:dyDescent="0.25">
      <c r="A61" s="7" t="s">
        <v>365</v>
      </c>
      <c r="B61" s="77" t="s">
        <v>47</v>
      </c>
      <c r="C61" s="76">
        <f t="shared" si="4"/>
        <v>73244</v>
      </c>
      <c r="D61" s="76">
        <f t="shared" si="4"/>
        <v>78973</v>
      </c>
      <c r="E61" s="76">
        <f t="shared" si="1"/>
        <v>5729</v>
      </c>
      <c r="F61" s="66">
        <v>72374</v>
      </c>
      <c r="G61" s="66">
        <v>78077</v>
      </c>
      <c r="H61" s="76">
        <f t="shared" si="2"/>
        <v>5703</v>
      </c>
      <c r="I61" s="66">
        <v>870</v>
      </c>
      <c r="J61" s="66">
        <v>896</v>
      </c>
      <c r="K61" s="76">
        <f t="shared" si="5"/>
        <v>26</v>
      </c>
      <c r="L61" s="66">
        <v>0</v>
      </c>
      <c r="M61" s="66"/>
      <c r="N61" s="76">
        <f t="shared" si="6"/>
        <v>0</v>
      </c>
    </row>
    <row r="62" spans="1:14" ht="17.25" customHeight="1" x14ac:dyDescent="0.25">
      <c r="A62" s="7" t="s">
        <v>366</v>
      </c>
      <c r="B62" s="77" t="s">
        <v>367</v>
      </c>
      <c r="C62" s="76">
        <f t="shared" si="4"/>
        <v>74182</v>
      </c>
      <c r="D62" s="76">
        <f t="shared" si="4"/>
        <v>79408</v>
      </c>
      <c r="E62" s="76">
        <f t="shared" si="1"/>
        <v>5226</v>
      </c>
      <c r="F62" s="66">
        <v>73952</v>
      </c>
      <c r="G62" s="66">
        <f>41331+37855</f>
        <v>79186</v>
      </c>
      <c r="H62" s="76">
        <f t="shared" si="2"/>
        <v>5234</v>
      </c>
      <c r="I62" s="66">
        <v>230</v>
      </c>
      <c r="J62" s="66">
        <v>222</v>
      </c>
      <c r="K62" s="76">
        <f t="shared" si="5"/>
        <v>-8</v>
      </c>
      <c r="L62" s="66">
        <v>0</v>
      </c>
      <c r="M62" s="66"/>
      <c r="N62" s="76">
        <f t="shared" si="6"/>
        <v>0</v>
      </c>
    </row>
    <row r="63" spans="1:14" ht="30.75" customHeight="1" x14ac:dyDescent="0.25">
      <c r="A63" s="7" t="s">
        <v>368</v>
      </c>
      <c r="B63" s="77" t="s">
        <v>48</v>
      </c>
      <c r="C63" s="76">
        <f t="shared" si="4"/>
        <v>96660</v>
      </c>
      <c r="D63" s="76">
        <f t="shared" si="4"/>
        <v>103064</v>
      </c>
      <c r="E63" s="76">
        <f t="shared" si="1"/>
        <v>6404</v>
      </c>
      <c r="F63" s="66">
        <v>95762</v>
      </c>
      <c r="G63" s="66">
        <v>102302</v>
      </c>
      <c r="H63" s="76">
        <f t="shared" si="2"/>
        <v>6540</v>
      </c>
      <c r="I63" s="66">
        <v>898</v>
      </c>
      <c r="J63" s="66">
        <v>762</v>
      </c>
      <c r="K63" s="76">
        <f t="shared" si="5"/>
        <v>-136</v>
      </c>
      <c r="L63" s="66">
        <v>0</v>
      </c>
      <c r="M63" s="66"/>
      <c r="N63" s="76">
        <f t="shared" si="6"/>
        <v>0</v>
      </c>
    </row>
    <row r="64" spans="1:14" ht="15" customHeight="1" x14ac:dyDescent="0.25">
      <c r="A64" s="7" t="s">
        <v>369</v>
      </c>
      <c r="B64" s="77" t="s">
        <v>49</v>
      </c>
      <c r="C64" s="76">
        <f t="shared" si="4"/>
        <v>68061</v>
      </c>
      <c r="D64" s="76">
        <f t="shared" si="4"/>
        <v>66385</v>
      </c>
      <c r="E64" s="76">
        <f t="shared" si="1"/>
        <v>-1676</v>
      </c>
      <c r="F64" s="66">
        <v>68061</v>
      </c>
      <c r="G64" s="66">
        <v>66385</v>
      </c>
      <c r="H64" s="76">
        <f t="shared" si="2"/>
        <v>-1676</v>
      </c>
      <c r="I64" s="66">
        <v>0</v>
      </c>
      <c r="J64" s="66"/>
      <c r="K64" s="76">
        <f t="shared" si="5"/>
        <v>0</v>
      </c>
      <c r="L64" s="66">
        <v>0</v>
      </c>
      <c r="M64" s="66"/>
      <c r="N64" s="76">
        <f t="shared" si="6"/>
        <v>0</v>
      </c>
    </row>
    <row r="65" spans="1:14" ht="15" customHeight="1" x14ac:dyDescent="0.25">
      <c r="A65" s="7" t="s">
        <v>370</v>
      </c>
      <c r="B65" s="77" t="s">
        <v>371</v>
      </c>
      <c r="C65" s="76">
        <f t="shared" si="4"/>
        <v>94966</v>
      </c>
      <c r="D65" s="76">
        <f t="shared" si="4"/>
        <v>99809</v>
      </c>
      <c r="E65" s="76">
        <f t="shared" si="1"/>
        <v>4843</v>
      </c>
      <c r="F65" s="66">
        <v>93779</v>
      </c>
      <c r="G65" s="66">
        <v>98436</v>
      </c>
      <c r="H65" s="76">
        <f t="shared" si="2"/>
        <v>4657</v>
      </c>
      <c r="I65" s="66">
        <v>1187</v>
      </c>
      <c r="J65" s="66">
        <v>1373</v>
      </c>
      <c r="K65" s="76">
        <f t="shared" si="5"/>
        <v>186</v>
      </c>
      <c r="L65" s="66">
        <v>0</v>
      </c>
      <c r="M65" s="66"/>
      <c r="N65" s="76">
        <f t="shared" si="6"/>
        <v>0</v>
      </c>
    </row>
    <row r="66" spans="1:14" ht="15.75" customHeight="1" x14ac:dyDescent="0.25">
      <c r="A66" s="7" t="s">
        <v>372</v>
      </c>
      <c r="B66" s="77" t="s">
        <v>50</v>
      </c>
      <c r="C66" s="76">
        <f t="shared" si="4"/>
        <v>98644</v>
      </c>
      <c r="D66" s="76">
        <f t="shared" si="4"/>
        <v>93950</v>
      </c>
      <c r="E66" s="76">
        <f t="shared" si="1"/>
        <v>-4694</v>
      </c>
      <c r="F66" s="66">
        <v>98210</v>
      </c>
      <c r="G66" s="66">
        <v>93510</v>
      </c>
      <c r="H66" s="76">
        <f t="shared" si="2"/>
        <v>-4700</v>
      </c>
      <c r="I66" s="66">
        <v>434</v>
      </c>
      <c r="J66" s="66">
        <v>440</v>
      </c>
      <c r="K66" s="76">
        <f t="shared" si="5"/>
        <v>6</v>
      </c>
      <c r="L66" s="66">
        <v>0</v>
      </c>
      <c r="M66" s="66"/>
      <c r="N66" s="76">
        <f t="shared" si="6"/>
        <v>0</v>
      </c>
    </row>
    <row r="67" spans="1:14" ht="18" customHeight="1" x14ac:dyDescent="0.25">
      <c r="A67" s="7" t="s">
        <v>373</v>
      </c>
      <c r="B67" s="77" t="s">
        <v>270</v>
      </c>
      <c r="C67" s="76">
        <f t="shared" si="4"/>
        <v>34300</v>
      </c>
      <c r="D67" s="76">
        <f t="shared" si="4"/>
        <v>33993</v>
      </c>
      <c r="E67" s="76">
        <f t="shared" si="1"/>
        <v>-307</v>
      </c>
      <c r="F67" s="66">
        <v>34300</v>
      </c>
      <c r="G67" s="66">
        <v>33993</v>
      </c>
      <c r="H67" s="76">
        <f t="shared" si="2"/>
        <v>-307</v>
      </c>
      <c r="I67" s="66">
        <v>0</v>
      </c>
      <c r="J67" s="66"/>
      <c r="K67" s="76">
        <f t="shared" si="5"/>
        <v>0</v>
      </c>
      <c r="L67" s="66">
        <v>0</v>
      </c>
      <c r="M67" s="66"/>
      <c r="N67" s="76">
        <f t="shared" si="6"/>
        <v>0</v>
      </c>
    </row>
    <row r="68" spans="1:14" ht="18" customHeight="1" x14ac:dyDescent="0.25">
      <c r="A68" s="7" t="s">
        <v>374</v>
      </c>
      <c r="B68" s="77" t="s">
        <v>51</v>
      </c>
      <c r="C68" s="76">
        <f t="shared" si="4"/>
        <v>47118</v>
      </c>
      <c r="D68" s="76">
        <f t="shared" si="4"/>
        <v>52487</v>
      </c>
      <c r="E68" s="76">
        <f t="shared" si="1"/>
        <v>5369</v>
      </c>
      <c r="F68" s="66">
        <v>46918</v>
      </c>
      <c r="G68" s="66">
        <v>52329</v>
      </c>
      <c r="H68" s="76">
        <f t="shared" si="2"/>
        <v>5411</v>
      </c>
      <c r="I68" s="66">
        <v>200</v>
      </c>
      <c r="J68" s="66">
        <v>158</v>
      </c>
      <c r="K68" s="76">
        <f t="shared" si="5"/>
        <v>-42</v>
      </c>
      <c r="L68" s="66">
        <v>0</v>
      </c>
      <c r="M68" s="66"/>
      <c r="N68" s="76">
        <f t="shared" si="6"/>
        <v>0</v>
      </c>
    </row>
    <row r="69" spans="1:14" ht="15" customHeight="1" x14ac:dyDescent="0.25">
      <c r="A69" s="7" t="s">
        <v>375</v>
      </c>
      <c r="B69" s="77" t="s">
        <v>52</v>
      </c>
      <c r="C69" s="76">
        <f t="shared" si="4"/>
        <v>56533</v>
      </c>
      <c r="D69" s="76">
        <f t="shared" si="4"/>
        <v>56990</v>
      </c>
      <c r="E69" s="76">
        <f t="shared" si="1"/>
        <v>457</v>
      </c>
      <c r="F69" s="66">
        <v>55375</v>
      </c>
      <c r="G69" s="66">
        <v>55694</v>
      </c>
      <c r="H69" s="76">
        <f t="shared" si="2"/>
        <v>319</v>
      </c>
      <c r="I69" s="66">
        <v>1158</v>
      </c>
      <c r="J69" s="66">
        <v>1296</v>
      </c>
      <c r="K69" s="76">
        <f t="shared" si="5"/>
        <v>138</v>
      </c>
      <c r="L69" s="66">
        <v>0</v>
      </c>
      <c r="M69" s="66"/>
      <c r="N69" s="76">
        <f t="shared" si="6"/>
        <v>0</v>
      </c>
    </row>
    <row r="70" spans="1:14" ht="15" customHeight="1" x14ac:dyDescent="0.25">
      <c r="A70" s="7" t="s">
        <v>376</v>
      </c>
      <c r="B70" s="77" t="s">
        <v>53</v>
      </c>
      <c r="C70" s="76">
        <f t="shared" si="4"/>
        <v>58532</v>
      </c>
      <c r="D70" s="76">
        <f t="shared" si="4"/>
        <v>57546</v>
      </c>
      <c r="E70" s="76">
        <f t="shared" si="1"/>
        <v>-986</v>
      </c>
      <c r="F70" s="66">
        <v>58532</v>
      </c>
      <c r="G70" s="66">
        <v>57508</v>
      </c>
      <c r="H70" s="76">
        <f t="shared" si="2"/>
        <v>-1024</v>
      </c>
      <c r="I70" s="66">
        <v>0</v>
      </c>
      <c r="J70" s="66">
        <v>38</v>
      </c>
      <c r="K70" s="76">
        <f t="shared" si="5"/>
        <v>38</v>
      </c>
      <c r="L70" s="66">
        <v>0</v>
      </c>
      <c r="M70" s="66"/>
      <c r="N70" s="76">
        <f t="shared" si="6"/>
        <v>0</v>
      </c>
    </row>
    <row r="71" spans="1:14" ht="18.75" customHeight="1" x14ac:dyDescent="0.25">
      <c r="A71" s="7" t="s">
        <v>377</v>
      </c>
      <c r="B71" s="77" t="s">
        <v>54</v>
      </c>
      <c r="C71" s="76">
        <f t="shared" si="4"/>
        <v>78788</v>
      </c>
      <c r="D71" s="76">
        <f t="shared" si="4"/>
        <v>86374</v>
      </c>
      <c r="E71" s="76">
        <f t="shared" si="1"/>
        <v>7586</v>
      </c>
      <c r="F71" s="66">
        <v>78788</v>
      </c>
      <c r="G71" s="66">
        <v>86374</v>
      </c>
      <c r="H71" s="76">
        <f t="shared" si="2"/>
        <v>7586</v>
      </c>
      <c r="I71" s="66">
        <v>0</v>
      </c>
      <c r="J71" s="66"/>
      <c r="K71" s="76">
        <f t="shared" si="5"/>
        <v>0</v>
      </c>
      <c r="L71" s="66">
        <v>0</v>
      </c>
      <c r="M71" s="66"/>
      <c r="N71" s="76">
        <f t="shared" si="6"/>
        <v>0</v>
      </c>
    </row>
    <row r="72" spans="1:14" ht="18.75" customHeight="1" x14ac:dyDescent="0.25">
      <c r="A72" s="7" t="s">
        <v>378</v>
      </c>
      <c r="B72" s="77" t="s">
        <v>55</v>
      </c>
      <c r="C72" s="76">
        <f t="shared" si="4"/>
        <v>86500</v>
      </c>
      <c r="D72" s="76">
        <f t="shared" si="4"/>
        <v>91303</v>
      </c>
      <c r="E72" s="76">
        <f t="shared" si="1"/>
        <v>4803</v>
      </c>
      <c r="F72" s="66">
        <v>86500</v>
      </c>
      <c r="G72" s="66">
        <v>91303</v>
      </c>
      <c r="H72" s="76">
        <f t="shared" si="2"/>
        <v>4803</v>
      </c>
      <c r="I72" s="66">
        <v>0</v>
      </c>
      <c r="J72" s="66"/>
      <c r="K72" s="76">
        <f t="shared" si="5"/>
        <v>0</v>
      </c>
      <c r="L72" s="66">
        <v>0</v>
      </c>
      <c r="M72" s="66"/>
      <c r="N72" s="76">
        <f t="shared" si="6"/>
        <v>0</v>
      </c>
    </row>
    <row r="73" spans="1:14" ht="18.75" customHeight="1" x14ac:dyDescent="0.25">
      <c r="A73" s="7" t="s">
        <v>379</v>
      </c>
      <c r="B73" s="77" t="s">
        <v>56</v>
      </c>
      <c r="C73" s="76">
        <f t="shared" si="4"/>
        <v>94900</v>
      </c>
      <c r="D73" s="76">
        <f t="shared" si="4"/>
        <v>97747</v>
      </c>
      <c r="E73" s="76">
        <f t="shared" si="1"/>
        <v>2847</v>
      </c>
      <c r="F73" s="66">
        <v>92600</v>
      </c>
      <c r="G73" s="66">
        <v>95330</v>
      </c>
      <c r="H73" s="76">
        <f t="shared" si="2"/>
        <v>2730</v>
      </c>
      <c r="I73" s="66">
        <v>2300</v>
      </c>
      <c r="J73" s="66">
        <v>2417</v>
      </c>
      <c r="K73" s="76">
        <f t="shared" si="5"/>
        <v>117</v>
      </c>
      <c r="L73" s="66">
        <v>0</v>
      </c>
      <c r="M73" s="66"/>
      <c r="N73" s="76">
        <f t="shared" si="6"/>
        <v>0</v>
      </c>
    </row>
    <row r="74" spans="1:14" ht="15" customHeight="1" x14ac:dyDescent="0.25">
      <c r="A74" s="7" t="s">
        <v>380</v>
      </c>
      <c r="B74" s="77" t="s">
        <v>57</v>
      </c>
      <c r="C74" s="76">
        <f t="shared" si="4"/>
        <v>48870</v>
      </c>
      <c r="D74" s="76">
        <f t="shared" si="4"/>
        <v>49280</v>
      </c>
      <c r="E74" s="76">
        <f t="shared" si="1"/>
        <v>410</v>
      </c>
      <c r="F74" s="66">
        <v>48400</v>
      </c>
      <c r="G74" s="66">
        <v>48800</v>
      </c>
      <c r="H74" s="76">
        <f t="shared" si="2"/>
        <v>400</v>
      </c>
      <c r="I74" s="66">
        <v>470</v>
      </c>
      <c r="J74" s="66">
        <v>480</v>
      </c>
      <c r="K74" s="76">
        <f t="shared" si="5"/>
        <v>10</v>
      </c>
      <c r="L74" s="66">
        <v>0</v>
      </c>
      <c r="M74" s="66"/>
      <c r="N74" s="76">
        <f t="shared" si="6"/>
        <v>0</v>
      </c>
    </row>
    <row r="75" spans="1:14" ht="14.25" customHeight="1" x14ac:dyDescent="0.25">
      <c r="A75" s="7" t="s">
        <v>381</v>
      </c>
      <c r="B75" s="77" t="s">
        <v>58</v>
      </c>
      <c r="C75" s="76">
        <f t="shared" si="4"/>
        <v>99600</v>
      </c>
      <c r="D75" s="76">
        <f t="shared" si="4"/>
        <v>82998</v>
      </c>
      <c r="E75" s="76">
        <f t="shared" si="1"/>
        <v>-16602</v>
      </c>
      <c r="F75" s="66">
        <v>98800</v>
      </c>
      <c r="G75" s="66">
        <v>82131</v>
      </c>
      <c r="H75" s="76">
        <f t="shared" si="2"/>
        <v>-16669</v>
      </c>
      <c r="I75" s="66">
        <v>800</v>
      </c>
      <c r="J75" s="66">
        <v>867</v>
      </c>
      <c r="K75" s="76">
        <f t="shared" si="5"/>
        <v>67</v>
      </c>
      <c r="L75" s="66">
        <v>0</v>
      </c>
      <c r="M75" s="66"/>
      <c r="N75" s="76">
        <f t="shared" si="6"/>
        <v>0</v>
      </c>
    </row>
    <row r="76" spans="1:14" x14ac:dyDescent="0.25">
      <c r="A76" s="7" t="s">
        <v>382</v>
      </c>
      <c r="B76" s="77" t="s">
        <v>59</v>
      </c>
      <c r="C76" s="76">
        <f t="shared" si="4"/>
        <v>56951</v>
      </c>
      <c r="D76" s="76">
        <f t="shared" si="4"/>
        <v>66935</v>
      </c>
      <c r="E76" s="76">
        <f t="shared" si="1"/>
        <v>9984</v>
      </c>
      <c r="F76" s="66">
        <v>56651</v>
      </c>
      <c r="G76" s="66">
        <v>66530</v>
      </c>
      <c r="H76" s="76">
        <f t="shared" si="2"/>
        <v>9879</v>
      </c>
      <c r="I76" s="66">
        <v>300</v>
      </c>
      <c r="J76" s="66">
        <v>405</v>
      </c>
      <c r="K76" s="76">
        <f t="shared" si="5"/>
        <v>105</v>
      </c>
      <c r="L76" s="66">
        <v>0</v>
      </c>
      <c r="M76" s="66"/>
      <c r="N76" s="76">
        <f t="shared" si="6"/>
        <v>0</v>
      </c>
    </row>
    <row r="77" spans="1:14" x14ac:dyDescent="0.25">
      <c r="A77" s="7" t="s">
        <v>383</v>
      </c>
      <c r="B77" s="77" t="s">
        <v>115</v>
      </c>
      <c r="C77" s="76">
        <f t="shared" si="4"/>
        <v>34470</v>
      </c>
      <c r="D77" s="76">
        <f t="shared" si="4"/>
        <v>38020</v>
      </c>
      <c r="E77" s="76">
        <f t="shared" ref="E77:E129" si="7">D77-C77</f>
        <v>3550</v>
      </c>
      <c r="F77" s="66">
        <v>34470</v>
      </c>
      <c r="G77" s="66">
        <v>38020</v>
      </c>
      <c r="H77" s="76">
        <f t="shared" ref="H77:H129" si="8">G77-F77</f>
        <v>3550</v>
      </c>
      <c r="I77" s="66">
        <v>0</v>
      </c>
      <c r="J77" s="66"/>
      <c r="K77" s="76">
        <f t="shared" si="5"/>
        <v>0</v>
      </c>
      <c r="L77" s="66">
        <v>0</v>
      </c>
      <c r="M77" s="66"/>
      <c r="N77" s="76">
        <f t="shared" si="6"/>
        <v>0</v>
      </c>
    </row>
    <row r="78" spans="1:14" x14ac:dyDescent="0.25">
      <c r="A78" s="7" t="s">
        <v>384</v>
      </c>
      <c r="B78" s="77" t="s">
        <v>60</v>
      </c>
      <c r="C78" s="76">
        <f t="shared" ref="C78:D118" si="9">F78+I78+L78</f>
        <v>85240</v>
      </c>
      <c r="D78" s="76">
        <f t="shared" si="9"/>
        <v>88834</v>
      </c>
      <c r="E78" s="76">
        <f t="shared" si="7"/>
        <v>3594</v>
      </c>
      <c r="F78" s="66">
        <v>83850</v>
      </c>
      <c r="G78" s="66">
        <v>87483</v>
      </c>
      <c r="H78" s="76">
        <f t="shared" si="8"/>
        <v>3633</v>
      </c>
      <c r="I78" s="66">
        <v>1390</v>
      </c>
      <c r="J78" s="66">
        <v>1351</v>
      </c>
      <c r="K78" s="76">
        <f t="shared" si="5"/>
        <v>-39</v>
      </c>
      <c r="L78" s="66">
        <v>0</v>
      </c>
      <c r="M78" s="66"/>
      <c r="N78" s="76">
        <f t="shared" si="6"/>
        <v>0</v>
      </c>
    </row>
    <row r="79" spans="1:14" x14ac:dyDescent="0.25">
      <c r="A79" s="7" t="s">
        <v>385</v>
      </c>
      <c r="B79" s="77" t="s">
        <v>61</v>
      </c>
      <c r="C79" s="76">
        <f t="shared" si="9"/>
        <v>81598</v>
      </c>
      <c r="D79" s="76">
        <f t="shared" si="9"/>
        <v>85964</v>
      </c>
      <c r="E79" s="76">
        <f t="shared" si="7"/>
        <v>4366</v>
      </c>
      <c r="F79" s="66">
        <v>80500</v>
      </c>
      <c r="G79" s="66">
        <v>84753</v>
      </c>
      <c r="H79" s="76">
        <f t="shared" si="8"/>
        <v>4253</v>
      </c>
      <c r="I79" s="66">
        <v>1098</v>
      </c>
      <c r="J79" s="66">
        <v>1211</v>
      </c>
      <c r="K79" s="76">
        <f t="shared" si="5"/>
        <v>113</v>
      </c>
      <c r="L79" s="66">
        <v>0</v>
      </c>
      <c r="M79" s="66"/>
      <c r="N79" s="76">
        <f t="shared" si="6"/>
        <v>0</v>
      </c>
    </row>
    <row r="80" spans="1:14" x14ac:dyDescent="0.25">
      <c r="A80" s="7" t="s">
        <v>386</v>
      </c>
      <c r="B80" s="77" t="s">
        <v>62</v>
      </c>
      <c r="C80" s="76">
        <f t="shared" si="9"/>
        <v>82310</v>
      </c>
      <c r="D80" s="76">
        <f t="shared" si="9"/>
        <v>83725</v>
      </c>
      <c r="E80" s="76">
        <f t="shared" si="7"/>
        <v>1415</v>
      </c>
      <c r="F80" s="66">
        <v>81528</v>
      </c>
      <c r="G80" s="66">
        <v>83170</v>
      </c>
      <c r="H80" s="76">
        <f t="shared" si="8"/>
        <v>1642</v>
      </c>
      <c r="I80" s="66">
        <v>782</v>
      </c>
      <c r="J80" s="66">
        <v>555</v>
      </c>
      <c r="K80" s="76">
        <f t="shared" ref="K80:K129" si="10">J80-I80</f>
        <v>-227</v>
      </c>
      <c r="L80" s="66">
        <v>0</v>
      </c>
      <c r="M80" s="66"/>
      <c r="N80" s="76">
        <f t="shared" ref="N80:N129" si="11">M80-L80</f>
        <v>0</v>
      </c>
    </row>
    <row r="81" spans="1:14" x14ac:dyDescent="0.25">
      <c r="A81" s="7" t="s">
        <v>387</v>
      </c>
      <c r="B81" s="77" t="s">
        <v>63</v>
      </c>
      <c r="C81" s="76">
        <f t="shared" si="9"/>
        <v>31337</v>
      </c>
      <c r="D81" s="76">
        <f t="shared" si="9"/>
        <v>34131</v>
      </c>
      <c r="E81" s="76">
        <f t="shared" si="7"/>
        <v>2794</v>
      </c>
      <c r="F81" s="66">
        <v>29802</v>
      </c>
      <c r="G81" s="66">
        <v>32755</v>
      </c>
      <c r="H81" s="76">
        <f t="shared" si="8"/>
        <v>2953</v>
      </c>
      <c r="I81" s="66">
        <v>1535</v>
      </c>
      <c r="J81" s="66">
        <v>1376</v>
      </c>
      <c r="K81" s="76">
        <f t="shared" si="10"/>
        <v>-159</v>
      </c>
      <c r="L81" s="66">
        <v>0</v>
      </c>
      <c r="M81" s="66"/>
      <c r="N81" s="76">
        <f t="shared" si="11"/>
        <v>0</v>
      </c>
    </row>
    <row r="82" spans="1:14" x14ac:dyDescent="0.25">
      <c r="A82" s="7" t="s">
        <v>388</v>
      </c>
      <c r="B82" s="77" t="s">
        <v>64</v>
      </c>
      <c r="C82" s="76">
        <f t="shared" si="9"/>
        <v>94384</v>
      </c>
      <c r="D82" s="76">
        <f t="shared" si="9"/>
        <v>87720</v>
      </c>
      <c r="E82" s="76">
        <f t="shared" si="7"/>
        <v>-6664</v>
      </c>
      <c r="F82" s="66">
        <v>93283</v>
      </c>
      <c r="G82" s="66">
        <v>86880</v>
      </c>
      <c r="H82" s="76">
        <f t="shared" si="8"/>
        <v>-6403</v>
      </c>
      <c r="I82" s="66">
        <v>1101</v>
      </c>
      <c r="J82" s="66">
        <v>840</v>
      </c>
      <c r="K82" s="76">
        <f t="shared" si="10"/>
        <v>-261</v>
      </c>
      <c r="L82" s="66">
        <v>0</v>
      </c>
      <c r="M82" s="66"/>
      <c r="N82" s="76">
        <f t="shared" si="11"/>
        <v>0</v>
      </c>
    </row>
    <row r="83" spans="1:14" x14ac:dyDescent="0.25">
      <c r="A83" s="7" t="s">
        <v>389</v>
      </c>
      <c r="B83" s="78" t="s">
        <v>65</v>
      </c>
      <c r="C83" s="76">
        <f t="shared" si="9"/>
        <v>46429</v>
      </c>
      <c r="D83" s="76">
        <f t="shared" si="9"/>
        <v>49986</v>
      </c>
      <c r="E83" s="76">
        <f t="shared" si="7"/>
        <v>3557</v>
      </c>
      <c r="F83" s="66">
        <v>46339</v>
      </c>
      <c r="G83" s="66">
        <v>49862</v>
      </c>
      <c r="H83" s="76">
        <f t="shared" si="8"/>
        <v>3523</v>
      </c>
      <c r="I83" s="66">
        <v>90</v>
      </c>
      <c r="J83" s="66">
        <v>124</v>
      </c>
      <c r="K83" s="76">
        <f t="shared" si="10"/>
        <v>34</v>
      </c>
      <c r="L83" s="66">
        <v>0</v>
      </c>
      <c r="M83" s="66"/>
      <c r="N83" s="76">
        <f t="shared" si="11"/>
        <v>0</v>
      </c>
    </row>
    <row r="84" spans="1:14" ht="15" customHeight="1" x14ac:dyDescent="0.25">
      <c r="A84" s="7" t="s">
        <v>390</v>
      </c>
      <c r="B84" s="77" t="s">
        <v>66</v>
      </c>
      <c r="C84" s="76">
        <f t="shared" si="9"/>
        <v>58429</v>
      </c>
      <c r="D84" s="76">
        <f t="shared" si="9"/>
        <v>55083</v>
      </c>
      <c r="E84" s="76">
        <f t="shared" si="7"/>
        <v>-3346</v>
      </c>
      <c r="F84" s="66">
        <v>57924</v>
      </c>
      <c r="G84" s="66">
        <v>54578</v>
      </c>
      <c r="H84" s="76">
        <f t="shared" si="8"/>
        <v>-3346</v>
      </c>
      <c r="I84" s="66">
        <v>505</v>
      </c>
      <c r="J84" s="66">
        <v>505</v>
      </c>
      <c r="K84" s="76">
        <f t="shared" si="10"/>
        <v>0</v>
      </c>
      <c r="L84" s="66">
        <v>0</v>
      </c>
      <c r="M84" s="66"/>
      <c r="N84" s="76">
        <f t="shared" si="11"/>
        <v>0</v>
      </c>
    </row>
    <row r="85" spans="1:14" ht="15" customHeight="1" x14ac:dyDescent="0.25">
      <c r="A85" s="7" t="s">
        <v>391</v>
      </c>
      <c r="B85" s="77" t="s">
        <v>67</v>
      </c>
      <c r="C85" s="76">
        <f t="shared" si="9"/>
        <v>47507</v>
      </c>
      <c r="D85" s="76">
        <f t="shared" si="9"/>
        <v>46247</v>
      </c>
      <c r="E85" s="76">
        <f t="shared" si="7"/>
        <v>-1260</v>
      </c>
      <c r="F85" s="66">
        <v>46947</v>
      </c>
      <c r="G85" s="66">
        <v>45728</v>
      </c>
      <c r="H85" s="76">
        <f t="shared" si="8"/>
        <v>-1219</v>
      </c>
      <c r="I85" s="66">
        <v>560</v>
      </c>
      <c r="J85" s="66">
        <v>519</v>
      </c>
      <c r="K85" s="76">
        <f t="shared" si="10"/>
        <v>-41</v>
      </c>
      <c r="L85" s="66">
        <v>0</v>
      </c>
      <c r="M85" s="66"/>
      <c r="N85" s="76">
        <f t="shared" si="11"/>
        <v>0</v>
      </c>
    </row>
    <row r="86" spans="1:14" ht="15" customHeight="1" x14ac:dyDescent="0.25">
      <c r="A86" s="7" t="s">
        <v>392</v>
      </c>
      <c r="B86" s="77" t="s">
        <v>68</v>
      </c>
      <c r="C86" s="76">
        <f t="shared" si="9"/>
        <v>87292</v>
      </c>
      <c r="D86" s="76">
        <f t="shared" si="9"/>
        <v>92064</v>
      </c>
      <c r="E86" s="76">
        <f t="shared" si="7"/>
        <v>4772</v>
      </c>
      <c r="F86" s="66">
        <v>85844</v>
      </c>
      <c r="G86" s="66">
        <v>90796</v>
      </c>
      <c r="H86" s="76">
        <f t="shared" si="8"/>
        <v>4952</v>
      </c>
      <c r="I86" s="66">
        <v>1448</v>
      </c>
      <c r="J86" s="66">
        <v>1268</v>
      </c>
      <c r="K86" s="76">
        <f t="shared" si="10"/>
        <v>-180</v>
      </c>
      <c r="L86" s="66">
        <v>0</v>
      </c>
      <c r="M86" s="66"/>
      <c r="N86" s="76">
        <f t="shared" si="11"/>
        <v>0</v>
      </c>
    </row>
    <row r="87" spans="1:14" ht="15" customHeight="1" x14ac:dyDescent="0.25">
      <c r="A87" s="7" t="s">
        <v>393</v>
      </c>
      <c r="B87" s="77" t="s">
        <v>69</v>
      </c>
      <c r="C87" s="76">
        <f t="shared" si="9"/>
        <v>56982</v>
      </c>
      <c r="D87" s="76">
        <f t="shared" si="9"/>
        <v>55175</v>
      </c>
      <c r="E87" s="76">
        <f t="shared" si="7"/>
        <v>-1807</v>
      </c>
      <c r="F87" s="66">
        <v>56200</v>
      </c>
      <c r="G87" s="66">
        <v>54320</v>
      </c>
      <c r="H87" s="76">
        <f t="shared" si="8"/>
        <v>-1880</v>
      </c>
      <c r="I87" s="66">
        <v>782</v>
      </c>
      <c r="J87" s="66">
        <v>855</v>
      </c>
      <c r="K87" s="76">
        <f t="shared" si="10"/>
        <v>73</v>
      </c>
      <c r="L87" s="66">
        <v>0</v>
      </c>
      <c r="M87" s="66"/>
      <c r="N87" s="76">
        <f t="shared" si="11"/>
        <v>0</v>
      </c>
    </row>
    <row r="88" spans="1:14" ht="15" customHeight="1" x14ac:dyDescent="0.25">
      <c r="A88" s="7" t="s">
        <v>394</v>
      </c>
      <c r="B88" s="77" t="s">
        <v>70</v>
      </c>
      <c r="C88" s="76">
        <f t="shared" si="9"/>
        <v>94950</v>
      </c>
      <c r="D88" s="76">
        <f t="shared" si="9"/>
        <v>100912</v>
      </c>
      <c r="E88" s="76">
        <f t="shared" si="7"/>
        <v>5962</v>
      </c>
      <c r="F88" s="66">
        <v>93721</v>
      </c>
      <c r="G88" s="66">
        <v>99475</v>
      </c>
      <c r="H88" s="76">
        <f t="shared" si="8"/>
        <v>5754</v>
      </c>
      <c r="I88" s="66">
        <v>1229</v>
      </c>
      <c r="J88" s="66">
        <v>1437</v>
      </c>
      <c r="K88" s="76">
        <f t="shared" si="10"/>
        <v>208</v>
      </c>
      <c r="L88" s="66">
        <v>0</v>
      </c>
      <c r="M88" s="66"/>
      <c r="N88" s="76">
        <f t="shared" si="11"/>
        <v>0</v>
      </c>
    </row>
    <row r="89" spans="1:14" ht="15" customHeight="1" x14ac:dyDescent="0.25">
      <c r="A89" s="7" t="s">
        <v>395</v>
      </c>
      <c r="B89" s="77" t="s">
        <v>71</v>
      </c>
      <c r="C89" s="76">
        <f t="shared" si="9"/>
        <v>85727</v>
      </c>
      <c r="D89" s="76">
        <f t="shared" si="9"/>
        <v>82056</v>
      </c>
      <c r="E89" s="76">
        <f t="shared" si="7"/>
        <v>-3671</v>
      </c>
      <c r="F89" s="66">
        <v>84569</v>
      </c>
      <c r="G89" s="66">
        <v>80900</v>
      </c>
      <c r="H89" s="76">
        <f t="shared" si="8"/>
        <v>-3669</v>
      </c>
      <c r="I89" s="66">
        <v>1158</v>
      </c>
      <c r="J89" s="66">
        <v>1156</v>
      </c>
      <c r="K89" s="76">
        <f t="shared" si="10"/>
        <v>-2</v>
      </c>
      <c r="L89" s="66">
        <v>0</v>
      </c>
      <c r="M89" s="66"/>
      <c r="N89" s="76">
        <f t="shared" si="11"/>
        <v>0</v>
      </c>
    </row>
    <row r="90" spans="1:14" ht="15" customHeight="1" x14ac:dyDescent="0.25">
      <c r="A90" s="7" t="s">
        <v>396</v>
      </c>
      <c r="B90" s="77" t="s">
        <v>72</v>
      </c>
      <c r="C90" s="76">
        <f t="shared" si="9"/>
        <v>84921</v>
      </c>
      <c r="D90" s="76">
        <f t="shared" si="9"/>
        <v>91100</v>
      </c>
      <c r="E90" s="76">
        <f t="shared" si="7"/>
        <v>6179</v>
      </c>
      <c r="F90" s="66">
        <v>84197</v>
      </c>
      <c r="G90" s="66">
        <v>90460</v>
      </c>
      <c r="H90" s="76">
        <f t="shared" si="8"/>
        <v>6263</v>
      </c>
      <c r="I90" s="66">
        <v>724</v>
      </c>
      <c r="J90" s="66">
        <v>640</v>
      </c>
      <c r="K90" s="76">
        <f t="shared" si="10"/>
        <v>-84</v>
      </c>
      <c r="L90" s="66">
        <v>0</v>
      </c>
      <c r="M90" s="66"/>
      <c r="N90" s="76">
        <f t="shared" si="11"/>
        <v>0</v>
      </c>
    </row>
    <row r="91" spans="1:14" ht="14.25" customHeight="1" x14ac:dyDescent="0.25">
      <c r="A91" s="7" t="s">
        <v>397</v>
      </c>
      <c r="B91" s="77" t="s">
        <v>73</v>
      </c>
      <c r="C91" s="76">
        <f t="shared" si="9"/>
        <v>84888</v>
      </c>
      <c r="D91" s="76">
        <f t="shared" si="9"/>
        <v>89528</v>
      </c>
      <c r="E91" s="76">
        <f t="shared" si="7"/>
        <v>4640</v>
      </c>
      <c r="F91" s="66">
        <v>83656</v>
      </c>
      <c r="G91" s="66">
        <v>88336</v>
      </c>
      <c r="H91" s="76">
        <f t="shared" si="8"/>
        <v>4680</v>
      </c>
      <c r="I91" s="66">
        <v>1232</v>
      </c>
      <c r="J91" s="66">
        <v>1192</v>
      </c>
      <c r="K91" s="76">
        <f t="shared" si="10"/>
        <v>-40</v>
      </c>
      <c r="L91" s="66">
        <v>0</v>
      </c>
      <c r="M91" s="66"/>
      <c r="N91" s="76">
        <f t="shared" si="11"/>
        <v>0</v>
      </c>
    </row>
    <row r="92" spans="1:14" ht="15" customHeight="1" x14ac:dyDescent="0.25">
      <c r="A92" s="7" t="s">
        <v>398</v>
      </c>
      <c r="B92" s="77" t="s">
        <v>74</v>
      </c>
      <c r="C92" s="76">
        <f t="shared" si="9"/>
        <v>47151</v>
      </c>
      <c r="D92" s="76">
        <f t="shared" si="9"/>
        <v>49356</v>
      </c>
      <c r="E92" s="76">
        <f t="shared" si="7"/>
        <v>2205</v>
      </c>
      <c r="F92" s="66">
        <v>47005</v>
      </c>
      <c r="G92" s="66">
        <v>49210</v>
      </c>
      <c r="H92" s="76">
        <f t="shared" si="8"/>
        <v>2205</v>
      </c>
      <c r="I92" s="66">
        <v>146</v>
      </c>
      <c r="J92" s="66">
        <v>146</v>
      </c>
      <c r="K92" s="76">
        <f t="shared" si="10"/>
        <v>0</v>
      </c>
      <c r="L92" s="66">
        <v>0</v>
      </c>
      <c r="M92" s="66"/>
      <c r="N92" s="76">
        <f t="shared" si="11"/>
        <v>0</v>
      </c>
    </row>
    <row r="93" spans="1:14" ht="15" customHeight="1" x14ac:dyDescent="0.25">
      <c r="A93" s="7" t="s">
        <v>399</v>
      </c>
      <c r="B93" s="77" t="s">
        <v>75</v>
      </c>
      <c r="C93" s="76">
        <f t="shared" si="9"/>
        <v>92689</v>
      </c>
      <c r="D93" s="76">
        <f t="shared" si="9"/>
        <v>70790</v>
      </c>
      <c r="E93" s="76">
        <f t="shared" si="7"/>
        <v>-21899</v>
      </c>
      <c r="F93" s="66">
        <v>91559</v>
      </c>
      <c r="G93" s="66">
        <v>69460</v>
      </c>
      <c r="H93" s="76">
        <f t="shared" si="8"/>
        <v>-22099</v>
      </c>
      <c r="I93" s="66">
        <v>1130</v>
      </c>
      <c r="J93" s="66">
        <v>1330</v>
      </c>
      <c r="K93" s="76">
        <f t="shared" si="10"/>
        <v>200</v>
      </c>
      <c r="L93" s="66">
        <v>0</v>
      </c>
      <c r="M93" s="66"/>
      <c r="N93" s="76">
        <f t="shared" si="11"/>
        <v>0</v>
      </c>
    </row>
    <row r="94" spans="1:14" ht="15" customHeight="1" x14ac:dyDescent="0.25">
      <c r="A94" s="7" t="s">
        <v>400</v>
      </c>
      <c r="B94" s="77" t="s">
        <v>76</v>
      </c>
      <c r="C94" s="76">
        <f t="shared" si="9"/>
        <v>76025</v>
      </c>
      <c r="D94" s="76">
        <f t="shared" si="9"/>
        <v>75590</v>
      </c>
      <c r="E94" s="76">
        <f t="shared" si="7"/>
        <v>-435</v>
      </c>
      <c r="F94" s="66">
        <v>76025</v>
      </c>
      <c r="G94" s="66">
        <v>75590</v>
      </c>
      <c r="H94" s="76">
        <f t="shared" si="8"/>
        <v>-435</v>
      </c>
      <c r="I94" s="66">
        <v>0</v>
      </c>
      <c r="J94" s="66"/>
      <c r="K94" s="76">
        <f t="shared" si="10"/>
        <v>0</v>
      </c>
      <c r="L94" s="66">
        <v>0</v>
      </c>
      <c r="M94" s="66"/>
      <c r="N94" s="76">
        <f t="shared" si="11"/>
        <v>0</v>
      </c>
    </row>
    <row r="95" spans="1:14" ht="15" customHeight="1" x14ac:dyDescent="0.25">
      <c r="A95" s="7" t="s">
        <v>401</v>
      </c>
      <c r="B95" s="77" t="s">
        <v>77</v>
      </c>
      <c r="C95" s="76">
        <f t="shared" si="9"/>
        <v>97950</v>
      </c>
      <c r="D95" s="76">
        <f t="shared" si="9"/>
        <v>95429</v>
      </c>
      <c r="E95" s="76">
        <f t="shared" si="7"/>
        <v>-2521</v>
      </c>
      <c r="F95" s="66">
        <v>97023</v>
      </c>
      <c r="G95" s="66">
        <v>94880</v>
      </c>
      <c r="H95" s="76">
        <f t="shared" si="8"/>
        <v>-2143</v>
      </c>
      <c r="I95" s="66">
        <v>927</v>
      </c>
      <c r="J95" s="66">
        <v>549</v>
      </c>
      <c r="K95" s="76">
        <f t="shared" si="10"/>
        <v>-378</v>
      </c>
      <c r="L95" s="66">
        <v>0</v>
      </c>
      <c r="M95" s="66"/>
      <c r="N95" s="76">
        <f t="shared" si="11"/>
        <v>0</v>
      </c>
    </row>
    <row r="96" spans="1:14" ht="15" customHeight="1" x14ac:dyDescent="0.25">
      <c r="A96" s="7" t="s">
        <v>402</v>
      </c>
      <c r="B96" s="77" t="s">
        <v>78</v>
      </c>
      <c r="C96" s="76">
        <f t="shared" si="9"/>
        <v>84911</v>
      </c>
      <c r="D96" s="76">
        <f t="shared" si="9"/>
        <v>86407</v>
      </c>
      <c r="E96" s="76">
        <f t="shared" si="7"/>
        <v>1496</v>
      </c>
      <c r="F96" s="66">
        <v>83411</v>
      </c>
      <c r="G96" s="66">
        <v>84634</v>
      </c>
      <c r="H96" s="76">
        <f t="shared" si="8"/>
        <v>1223</v>
      </c>
      <c r="I96" s="66">
        <v>1500</v>
      </c>
      <c r="J96" s="66">
        <v>1773</v>
      </c>
      <c r="K96" s="76">
        <f t="shared" si="10"/>
        <v>273</v>
      </c>
      <c r="L96" s="66">
        <v>0</v>
      </c>
      <c r="M96" s="66"/>
      <c r="N96" s="76">
        <f t="shared" si="11"/>
        <v>0</v>
      </c>
    </row>
    <row r="97" spans="1:14" ht="15" customHeight="1" x14ac:dyDescent="0.25">
      <c r="A97" s="7" t="s">
        <v>403</v>
      </c>
      <c r="B97" s="77" t="s">
        <v>79</v>
      </c>
      <c r="C97" s="76">
        <f t="shared" si="9"/>
        <v>98043</v>
      </c>
      <c r="D97" s="76">
        <f t="shared" si="9"/>
        <v>85496</v>
      </c>
      <c r="E97" s="76">
        <f t="shared" si="7"/>
        <v>-12547</v>
      </c>
      <c r="F97" s="66">
        <v>97000</v>
      </c>
      <c r="G97" s="66">
        <v>85150</v>
      </c>
      <c r="H97" s="76">
        <f t="shared" si="8"/>
        <v>-11850</v>
      </c>
      <c r="I97" s="66">
        <v>1043</v>
      </c>
      <c r="J97" s="66">
        <v>346</v>
      </c>
      <c r="K97" s="76">
        <f t="shared" si="10"/>
        <v>-697</v>
      </c>
      <c r="L97" s="66">
        <v>0</v>
      </c>
      <c r="M97" s="66"/>
      <c r="N97" s="76">
        <f t="shared" si="11"/>
        <v>0</v>
      </c>
    </row>
    <row r="98" spans="1:14" ht="15" customHeight="1" x14ac:dyDescent="0.25">
      <c r="A98" s="7" t="s">
        <v>404</v>
      </c>
      <c r="B98" s="77" t="s">
        <v>80</v>
      </c>
      <c r="C98" s="76">
        <f t="shared" si="9"/>
        <v>54912</v>
      </c>
      <c r="D98" s="76">
        <f t="shared" si="9"/>
        <v>68900</v>
      </c>
      <c r="E98" s="76">
        <f t="shared" si="7"/>
        <v>13988</v>
      </c>
      <c r="F98" s="66">
        <v>54912</v>
      </c>
      <c r="G98" s="66">
        <v>68900</v>
      </c>
      <c r="H98" s="76">
        <f t="shared" si="8"/>
        <v>13988</v>
      </c>
      <c r="I98" s="66">
        <v>0</v>
      </c>
      <c r="J98" s="66"/>
      <c r="K98" s="76">
        <f t="shared" si="10"/>
        <v>0</v>
      </c>
      <c r="L98" s="66">
        <v>0</v>
      </c>
      <c r="M98" s="66"/>
      <c r="N98" s="76">
        <f t="shared" si="11"/>
        <v>0</v>
      </c>
    </row>
    <row r="99" spans="1:14" x14ac:dyDescent="0.25">
      <c r="A99" s="7" t="s">
        <v>405</v>
      </c>
      <c r="B99" s="77" t="s">
        <v>81</v>
      </c>
      <c r="C99" s="76">
        <f t="shared" si="9"/>
        <v>55028</v>
      </c>
      <c r="D99" s="76">
        <f t="shared" si="9"/>
        <v>55026</v>
      </c>
      <c r="E99" s="76">
        <f t="shared" si="7"/>
        <v>-2</v>
      </c>
      <c r="F99" s="66">
        <v>55028</v>
      </c>
      <c r="G99" s="66">
        <v>55026</v>
      </c>
      <c r="H99" s="76">
        <f t="shared" si="8"/>
        <v>-2</v>
      </c>
      <c r="I99" s="66">
        <v>0</v>
      </c>
      <c r="J99" s="66"/>
      <c r="K99" s="76">
        <f t="shared" si="10"/>
        <v>0</v>
      </c>
      <c r="L99" s="66">
        <v>0</v>
      </c>
      <c r="M99" s="66"/>
      <c r="N99" s="76">
        <f t="shared" si="11"/>
        <v>0</v>
      </c>
    </row>
    <row r="100" spans="1:14" s="11" customFormat="1" ht="15" customHeight="1" x14ac:dyDescent="0.25">
      <c r="A100" s="7" t="s">
        <v>406</v>
      </c>
      <c r="B100" s="77" t="s">
        <v>82</v>
      </c>
      <c r="C100" s="76">
        <f t="shared" si="9"/>
        <v>106522</v>
      </c>
      <c r="D100" s="76">
        <f t="shared" si="9"/>
        <v>73227</v>
      </c>
      <c r="E100" s="76">
        <f t="shared" si="7"/>
        <v>-33295</v>
      </c>
      <c r="F100" s="66">
        <v>105943</v>
      </c>
      <c r="G100" s="66">
        <v>72433</v>
      </c>
      <c r="H100" s="76">
        <f t="shared" si="8"/>
        <v>-33510</v>
      </c>
      <c r="I100" s="66">
        <v>579</v>
      </c>
      <c r="J100" s="66">
        <v>794</v>
      </c>
      <c r="K100" s="76">
        <f t="shared" si="10"/>
        <v>215</v>
      </c>
      <c r="L100" s="66">
        <v>0</v>
      </c>
      <c r="M100" s="66"/>
      <c r="N100" s="76">
        <f t="shared" si="11"/>
        <v>0</v>
      </c>
    </row>
    <row r="101" spans="1:14" ht="15" customHeight="1" x14ac:dyDescent="0.25">
      <c r="A101" s="7" t="s">
        <v>407</v>
      </c>
      <c r="B101" s="77" t="s">
        <v>83</v>
      </c>
      <c r="C101" s="76">
        <f t="shared" si="9"/>
        <v>61911</v>
      </c>
      <c r="D101" s="76">
        <f t="shared" si="9"/>
        <v>65627</v>
      </c>
      <c r="E101" s="76">
        <f t="shared" si="7"/>
        <v>3716</v>
      </c>
      <c r="F101" s="66">
        <v>61245</v>
      </c>
      <c r="G101" s="66">
        <v>64967</v>
      </c>
      <c r="H101" s="76">
        <f t="shared" si="8"/>
        <v>3722</v>
      </c>
      <c r="I101" s="66">
        <v>666</v>
      </c>
      <c r="J101" s="66">
        <v>660</v>
      </c>
      <c r="K101" s="76">
        <f t="shared" si="10"/>
        <v>-6</v>
      </c>
      <c r="L101" s="66">
        <v>0</v>
      </c>
      <c r="M101" s="66"/>
      <c r="N101" s="76">
        <f t="shared" si="11"/>
        <v>0</v>
      </c>
    </row>
    <row r="102" spans="1:14" ht="15" customHeight="1" x14ac:dyDescent="0.25">
      <c r="A102" s="7" t="s">
        <v>408</v>
      </c>
      <c r="B102" s="77" t="s">
        <v>84</v>
      </c>
      <c r="C102" s="76">
        <f t="shared" si="9"/>
        <v>82272</v>
      </c>
      <c r="D102" s="76">
        <f t="shared" si="9"/>
        <v>79674</v>
      </c>
      <c r="E102" s="76">
        <f t="shared" si="7"/>
        <v>-2598</v>
      </c>
      <c r="F102" s="66">
        <v>81545</v>
      </c>
      <c r="G102" s="66">
        <v>79003</v>
      </c>
      <c r="H102" s="76">
        <f t="shared" si="8"/>
        <v>-2542</v>
      </c>
      <c r="I102" s="66">
        <v>727</v>
      </c>
      <c r="J102" s="66">
        <v>671</v>
      </c>
      <c r="K102" s="76">
        <f t="shared" si="10"/>
        <v>-56</v>
      </c>
      <c r="L102" s="66">
        <v>0</v>
      </c>
      <c r="M102" s="66"/>
      <c r="N102" s="76">
        <f t="shared" si="11"/>
        <v>0</v>
      </c>
    </row>
    <row r="103" spans="1:14" ht="15" customHeight="1" x14ac:dyDescent="0.25">
      <c r="A103" s="7" t="s">
        <v>409</v>
      </c>
      <c r="B103" s="77" t="s">
        <v>85</v>
      </c>
      <c r="C103" s="76">
        <f t="shared" si="9"/>
        <v>79516</v>
      </c>
      <c r="D103" s="76">
        <f t="shared" si="9"/>
        <v>79853</v>
      </c>
      <c r="E103" s="76">
        <f t="shared" si="7"/>
        <v>337</v>
      </c>
      <c r="F103" s="66">
        <v>78556</v>
      </c>
      <c r="G103" s="66">
        <v>79142</v>
      </c>
      <c r="H103" s="76">
        <f t="shared" si="8"/>
        <v>586</v>
      </c>
      <c r="I103" s="66">
        <v>960</v>
      </c>
      <c r="J103" s="66">
        <v>711</v>
      </c>
      <c r="K103" s="76">
        <f t="shared" si="10"/>
        <v>-249</v>
      </c>
      <c r="L103" s="66">
        <v>0</v>
      </c>
      <c r="M103" s="66"/>
      <c r="N103" s="76">
        <f t="shared" si="11"/>
        <v>0</v>
      </c>
    </row>
    <row r="104" spans="1:14" ht="16.5" customHeight="1" x14ac:dyDescent="0.25">
      <c r="A104" s="7" t="s">
        <v>410</v>
      </c>
      <c r="B104" s="77" t="s">
        <v>86</v>
      </c>
      <c r="C104" s="76">
        <f t="shared" si="9"/>
        <v>82820</v>
      </c>
      <c r="D104" s="76">
        <f t="shared" si="9"/>
        <v>88007</v>
      </c>
      <c r="E104" s="76">
        <f t="shared" si="7"/>
        <v>5187</v>
      </c>
      <c r="F104" s="66">
        <v>82184</v>
      </c>
      <c r="G104" s="66">
        <v>87527</v>
      </c>
      <c r="H104" s="76">
        <f t="shared" si="8"/>
        <v>5343</v>
      </c>
      <c r="I104" s="66">
        <v>636</v>
      </c>
      <c r="J104" s="66">
        <v>480</v>
      </c>
      <c r="K104" s="76">
        <f t="shared" si="10"/>
        <v>-156</v>
      </c>
      <c r="L104" s="66">
        <v>0</v>
      </c>
      <c r="M104" s="66"/>
      <c r="N104" s="76">
        <f t="shared" si="11"/>
        <v>0</v>
      </c>
    </row>
    <row r="105" spans="1:14" ht="15" customHeight="1" x14ac:dyDescent="0.25">
      <c r="A105" s="7" t="s">
        <v>411</v>
      </c>
      <c r="B105" s="77" t="s">
        <v>87</v>
      </c>
      <c r="C105" s="76">
        <f t="shared" si="9"/>
        <v>82503</v>
      </c>
      <c r="D105" s="76">
        <f t="shared" si="9"/>
        <v>86440</v>
      </c>
      <c r="E105" s="76">
        <f t="shared" si="7"/>
        <v>3937</v>
      </c>
      <c r="F105" s="66">
        <v>81200</v>
      </c>
      <c r="G105" s="66">
        <v>84856</v>
      </c>
      <c r="H105" s="76">
        <f t="shared" si="8"/>
        <v>3656</v>
      </c>
      <c r="I105" s="66">
        <v>1303</v>
      </c>
      <c r="J105" s="66">
        <v>1584</v>
      </c>
      <c r="K105" s="76">
        <f t="shared" si="10"/>
        <v>281</v>
      </c>
      <c r="L105" s="66">
        <v>0</v>
      </c>
      <c r="M105" s="66"/>
      <c r="N105" s="76">
        <f t="shared" si="11"/>
        <v>0</v>
      </c>
    </row>
    <row r="106" spans="1:14" ht="15" customHeight="1" x14ac:dyDescent="0.25">
      <c r="A106" s="7" t="s">
        <v>412</v>
      </c>
      <c r="B106" s="77" t="s">
        <v>88</v>
      </c>
      <c r="C106" s="76">
        <f t="shared" si="9"/>
        <v>97696</v>
      </c>
      <c r="D106" s="76">
        <f t="shared" si="9"/>
        <v>96910</v>
      </c>
      <c r="E106" s="76">
        <f t="shared" si="7"/>
        <v>-786</v>
      </c>
      <c r="F106" s="66">
        <v>97118</v>
      </c>
      <c r="G106" s="66">
        <v>96550</v>
      </c>
      <c r="H106" s="76">
        <f t="shared" si="8"/>
        <v>-568</v>
      </c>
      <c r="I106" s="66">
        <v>578</v>
      </c>
      <c r="J106" s="66">
        <v>360</v>
      </c>
      <c r="K106" s="76">
        <f t="shared" si="10"/>
        <v>-218</v>
      </c>
      <c r="L106" s="66">
        <v>0</v>
      </c>
      <c r="M106" s="66"/>
      <c r="N106" s="76">
        <f t="shared" si="11"/>
        <v>0</v>
      </c>
    </row>
    <row r="107" spans="1:14" ht="15" customHeight="1" x14ac:dyDescent="0.25">
      <c r="A107" s="7" t="s">
        <v>413</v>
      </c>
      <c r="B107" s="77" t="s">
        <v>89</v>
      </c>
      <c r="C107" s="76">
        <f t="shared" si="9"/>
        <v>94530</v>
      </c>
      <c r="D107" s="76">
        <f t="shared" si="9"/>
        <v>95468</v>
      </c>
      <c r="E107" s="76">
        <f t="shared" si="7"/>
        <v>938</v>
      </c>
      <c r="F107" s="66">
        <v>93400</v>
      </c>
      <c r="G107" s="66">
        <v>94330</v>
      </c>
      <c r="H107" s="76">
        <f t="shared" si="8"/>
        <v>930</v>
      </c>
      <c r="I107" s="66">
        <v>1130</v>
      </c>
      <c r="J107" s="66">
        <v>1138</v>
      </c>
      <c r="K107" s="76">
        <f t="shared" si="10"/>
        <v>8</v>
      </c>
      <c r="L107" s="66">
        <v>0</v>
      </c>
      <c r="M107" s="66"/>
      <c r="N107" s="76">
        <f t="shared" si="11"/>
        <v>0</v>
      </c>
    </row>
    <row r="108" spans="1:14" ht="15" customHeight="1" x14ac:dyDescent="0.25">
      <c r="A108" s="7" t="s">
        <v>414</v>
      </c>
      <c r="B108" s="77" t="s">
        <v>90</v>
      </c>
      <c r="C108" s="76">
        <f t="shared" si="9"/>
        <v>66092</v>
      </c>
      <c r="D108" s="76">
        <f t="shared" si="9"/>
        <v>67537</v>
      </c>
      <c r="E108" s="76">
        <f t="shared" si="7"/>
        <v>1445</v>
      </c>
      <c r="F108" s="66">
        <v>65165</v>
      </c>
      <c r="G108" s="66">
        <v>66531</v>
      </c>
      <c r="H108" s="76">
        <f t="shared" si="8"/>
        <v>1366</v>
      </c>
      <c r="I108" s="66">
        <v>927</v>
      </c>
      <c r="J108" s="66">
        <v>1006</v>
      </c>
      <c r="K108" s="76">
        <f t="shared" si="10"/>
        <v>79</v>
      </c>
      <c r="L108" s="66">
        <v>0</v>
      </c>
      <c r="M108" s="66"/>
      <c r="N108" s="76">
        <f t="shared" si="11"/>
        <v>0</v>
      </c>
    </row>
    <row r="109" spans="1:14" ht="33" customHeight="1" x14ac:dyDescent="0.25">
      <c r="A109" s="7" t="s">
        <v>415</v>
      </c>
      <c r="B109" s="77" t="s">
        <v>91</v>
      </c>
      <c r="C109" s="76">
        <f t="shared" si="9"/>
        <v>83700</v>
      </c>
      <c r="D109" s="76">
        <f t="shared" si="9"/>
        <v>87552</v>
      </c>
      <c r="E109" s="76">
        <f t="shared" si="7"/>
        <v>3852</v>
      </c>
      <c r="F109" s="66">
        <v>82542</v>
      </c>
      <c r="G109" s="66">
        <v>86521</v>
      </c>
      <c r="H109" s="76">
        <f t="shared" si="8"/>
        <v>3979</v>
      </c>
      <c r="I109" s="66">
        <v>1158</v>
      </c>
      <c r="J109" s="66">
        <v>1031</v>
      </c>
      <c r="K109" s="76">
        <f t="shared" si="10"/>
        <v>-127</v>
      </c>
      <c r="L109" s="66">
        <v>0</v>
      </c>
      <c r="M109" s="66"/>
      <c r="N109" s="76">
        <f t="shared" si="11"/>
        <v>0</v>
      </c>
    </row>
    <row r="110" spans="1:14" ht="15" customHeight="1" x14ac:dyDescent="0.25">
      <c r="A110" s="7" t="s">
        <v>416</v>
      </c>
      <c r="B110" s="77" t="s">
        <v>92</v>
      </c>
      <c r="C110" s="76">
        <f t="shared" si="9"/>
        <v>20273</v>
      </c>
      <c r="D110" s="76">
        <f t="shared" si="9"/>
        <v>24952</v>
      </c>
      <c r="E110" s="76">
        <f t="shared" si="7"/>
        <v>4679</v>
      </c>
      <c r="F110" s="66">
        <v>20273</v>
      </c>
      <c r="G110" s="66">
        <v>24952</v>
      </c>
      <c r="H110" s="76">
        <f t="shared" si="8"/>
        <v>4679</v>
      </c>
      <c r="I110" s="66">
        <v>0</v>
      </c>
      <c r="J110" s="66"/>
      <c r="K110" s="76">
        <f t="shared" si="10"/>
        <v>0</v>
      </c>
      <c r="L110" s="66">
        <v>0</v>
      </c>
      <c r="M110" s="66"/>
      <c r="N110" s="76">
        <f t="shared" si="11"/>
        <v>0</v>
      </c>
    </row>
    <row r="111" spans="1:14" ht="15" customHeight="1" x14ac:dyDescent="0.25">
      <c r="A111" s="7" t="s">
        <v>417</v>
      </c>
      <c r="B111" s="77" t="s">
        <v>93</v>
      </c>
      <c r="C111" s="76">
        <f t="shared" si="9"/>
        <v>51118</v>
      </c>
      <c r="D111" s="76">
        <f t="shared" si="9"/>
        <v>49729</v>
      </c>
      <c r="E111" s="76">
        <f t="shared" si="7"/>
        <v>-1389</v>
      </c>
      <c r="F111" s="66">
        <v>46339</v>
      </c>
      <c r="G111" s="66">
        <v>45305</v>
      </c>
      <c r="H111" s="76">
        <f t="shared" si="8"/>
        <v>-1034</v>
      </c>
      <c r="I111" s="66">
        <v>0</v>
      </c>
      <c r="J111" s="66"/>
      <c r="K111" s="76">
        <f t="shared" si="10"/>
        <v>0</v>
      </c>
      <c r="L111" s="66">
        <v>4779</v>
      </c>
      <c r="M111" s="66">
        <v>4424</v>
      </c>
      <c r="N111" s="76">
        <f t="shared" si="11"/>
        <v>-355</v>
      </c>
    </row>
    <row r="112" spans="1:14" ht="15" customHeight="1" x14ac:dyDescent="0.25">
      <c r="A112" s="7" t="s">
        <v>418</v>
      </c>
      <c r="B112" s="77" t="s">
        <v>94</v>
      </c>
      <c r="C112" s="76">
        <f t="shared" si="9"/>
        <v>42516</v>
      </c>
      <c r="D112" s="76">
        <f t="shared" si="9"/>
        <v>47265</v>
      </c>
      <c r="E112" s="76">
        <f t="shared" si="7"/>
        <v>4749</v>
      </c>
      <c r="F112" s="66">
        <v>41995</v>
      </c>
      <c r="G112" s="66">
        <v>47002</v>
      </c>
      <c r="H112" s="76">
        <f t="shared" si="8"/>
        <v>5007</v>
      </c>
      <c r="I112" s="66">
        <v>521</v>
      </c>
      <c r="J112" s="66">
        <v>263</v>
      </c>
      <c r="K112" s="76">
        <f t="shared" si="10"/>
        <v>-258</v>
      </c>
      <c r="L112" s="66">
        <v>0</v>
      </c>
      <c r="M112" s="66"/>
      <c r="N112" s="76">
        <f t="shared" si="11"/>
        <v>0</v>
      </c>
    </row>
    <row r="113" spans="1:14" x14ac:dyDescent="0.25">
      <c r="A113" s="7" t="s">
        <v>419</v>
      </c>
      <c r="B113" s="77" t="s">
        <v>95</v>
      </c>
      <c r="C113" s="76">
        <f t="shared" si="9"/>
        <v>51200</v>
      </c>
      <c r="D113" s="76">
        <f t="shared" si="9"/>
        <v>46889</v>
      </c>
      <c r="E113" s="76">
        <f t="shared" si="7"/>
        <v>-4311</v>
      </c>
      <c r="F113" s="66">
        <v>49800</v>
      </c>
      <c r="G113" s="66">
        <v>45710</v>
      </c>
      <c r="H113" s="76">
        <f t="shared" si="8"/>
        <v>-4090</v>
      </c>
      <c r="I113" s="66">
        <v>1400</v>
      </c>
      <c r="J113" s="66">
        <v>1179</v>
      </c>
      <c r="K113" s="76">
        <f t="shared" si="10"/>
        <v>-221</v>
      </c>
      <c r="L113" s="66">
        <v>0</v>
      </c>
      <c r="M113" s="66"/>
      <c r="N113" s="76">
        <f t="shared" si="11"/>
        <v>0</v>
      </c>
    </row>
    <row r="114" spans="1:14" ht="15" customHeight="1" x14ac:dyDescent="0.25">
      <c r="A114" s="7" t="s">
        <v>420</v>
      </c>
      <c r="B114" s="77" t="s">
        <v>96</v>
      </c>
      <c r="C114" s="76">
        <f t="shared" si="9"/>
        <v>42988</v>
      </c>
      <c r="D114" s="76">
        <f t="shared" si="9"/>
        <v>40759</v>
      </c>
      <c r="E114" s="76">
        <f t="shared" si="7"/>
        <v>-2229</v>
      </c>
      <c r="F114" s="66">
        <v>42640</v>
      </c>
      <c r="G114" s="66">
        <v>40440</v>
      </c>
      <c r="H114" s="76">
        <f t="shared" si="8"/>
        <v>-2200</v>
      </c>
      <c r="I114" s="66">
        <v>348</v>
      </c>
      <c r="J114" s="66">
        <v>319</v>
      </c>
      <c r="K114" s="76">
        <f t="shared" si="10"/>
        <v>-29</v>
      </c>
      <c r="L114" s="66">
        <v>0</v>
      </c>
      <c r="M114" s="66"/>
      <c r="N114" s="76">
        <f t="shared" si="11"/>
        <v>0</v>
      </c>
    </row>
    <row r="115" spans="1:14" s="9" customFormat="1" ht="31.5" customHeight="1" x14ac:dyDescent="0.25">
      <c r="A115" s="7" t="s">
        <v>421</v>
      </c>
      <c r="B115" s="77" t="s">
        <v>97</v>
      </c>
      <c r="C115" s="76">
        <f t="shared" si="9"/>
        <v>31171</v>
      </c>
      <c r="D115" s="76">
        <f t="shared" si="9"/>
        <v>29358</v>
      </c>
      <c r="E115" s="76">
        <f t="shared" si="7"/>
        <v>-1813</v>
      </c>
      <c r="F115" s="66">
        <v>0</v>
      </c>
      <c r="G115" s="66"/>
      <c r="H115" s="76">
        <f t="shared" si="8"/>
        <v>0</v>
      </c>
      <c r="I115" s="66">
        <v>31171</v>
      </c>
      <c r="J115" s="66">
        <v>29358</v>
      </c>
      <c r="K115" s="76">
        <f t="shared" si="10"/>
        <v>-1813</v>
      </c>
      <c r="L115" s="66">
        <v>0</v>
      </c>
      <c r="M115" s="66"/>
      <c r="N115" s="76">
        <f t="shared" si="11"/>
        <v>0</v>
      </c>
    </row>
    <row r="116" spans="1:14" ht="15" customHeight="1" x14ac:dyDescent="0.25">
      <c r="A116" s="7" t="s">
        <v>422</v>
      </c>
      <c r="B116" s="77" t="s">
        <v>98</v>
      </c>
      <c r="C116" s="76">
        <f t="shared" si="9"/>
        <v>2500</v>
      </c>
      <c r="D116" s="76">
        <f t="shared" si="9"/>
        <v>2469</v>
      </c>
      <c r="E116" s="76">
        <f t="shared" si="7"/>
        <v>-31</v>
      </c>
      <c r="F116" s="66">
        <v>0</v>
      </c>
      <c r="G116" s="66"/>
      <c r="H116" s="76">
        <f t="shared" si="8"/>
        <v>0</v>
      </c>
      <c r="I116" s="66">
        <v>2500</v>
      </c>
      <c r="J116" s="66">
        <v>2469</v>
      </c>
      <c r="K116" s="76">
        <f t="shared" si="10"/>
        <v>-31</v>
      </c>
      <c r="L116" s="66">
        <v>0</v>
      </c>
      <c r="M116" s="66"/>
      <c r="N116" s="76">
        <f t="shared" si="11"/>
        <v>0</v>
      </c>
    </row>
    <row r="117" spans="1:14" x14ac:dyDescent="0.25">
      <c r="A117" s="7" t="s">
        <v>423</v>
      </c>
      <c r="B117" s="77" t="s">
        <v>108</v>
      </c>
      <c r="C117" s="76">
        <f>F117+I117+L117</f>
        <v>34945</v>
      </c>
      <c r="D117" s="76">
        <f>G117+J117+M117</f>
        <v>26561</v>
      </c>
      <c r="E117" s="76">
        <f>D117-C117</f>
        <v>-8384</v>
      </c>
      <c r="F117" s="66">
        <v>0</v>
      </c>
      <c r="G117" s="66"/>
      <c r="H117" s="76">
        <f t="shared" si="8"/>
        <v>0</v>
      </c>
      <c r="I117" s="66">
        <v>34833</v>
      </c>
      <c r="J117" s="66">
        <f>1797+24741</f>
        <v>26538</v>
      </c>
      <c r="K117" s="76">
        <f t="shared" si="10"/>
        <v>-8295</v>
      </c>
      <c r="L117" s="66">
        <v>112</v>
      </c>
      <c r="M117" s="66">
        <v>23</v>
      </c>
      <c r="N117" s="76">
        <f t="shared" si="11"/>
        <v>-89</v>
      </c>
    </row>
    <row r="118" spans="1:14" ht="18.75" customHeight="1" x14ac:dyDescent="0.25">
      <c r="A118" s="7" t="s">
        <v>424</v>
      </c>
      <c r="B118" s="77" t="s">
        <v>99</v>
      </c>
      <c r="C118" s="76">
        <f t="shared" si="9"/>
        <v>3597</v>
      </c>
      <c r="D118" s="76">
        <f t="shared" si="9"/>
        <v>4476</v>
      </c>
      <c r="E118" s="76">
        <f t="shared" si="7"/>
        <v>879</v>
      </c>
      <c r="F118" s="79">
        <v>290</v>
      </c>
      <c r="G118" s="66">
        <v>172</v>
      </c>
      <c r="H118" s="76">
        <f t="shared" si="8"/>
        <v>-118</v>
      </c>
      <c r="I118" s="80">
        <v>3307</v>
      </c>
      <c r="J118" s="66">
        <v>4304</v>
      </c>
      <c r="K118" s="76">
        <f t="shared" si="10"/>
        <v>997</v>
      </c>
      <c r="L118" s="66">
        <v>0</v>
      </c>
      <c r="M118" s="66"/>
      <c r="N118" s="76">
        <f t="shared" si="11"/>
        <v>0</v>
      </c>
    </row>
    <row r="119" spans="1:14" ht="15" customHeight="1" x14ac:dyDescent="0.25">
      <c r="A119" s="7" t="s">
        <v>425</v>
      </c>
      <c r="B119" s="12" t="s">
        <v>100</v>
      </c>
      <c r="C119" s="74">
        <f>SUM(C120:C129)</f>
        <v>568928</v>
      </c>
      <c r="D119" s="74">
        <f t="shared" ref="D119:N119" si="12">SUM(D120:D129)</f>
        <v>536029</v>
      </c>
      <c r="E119" s="74">
        <f t="shared" si="12"/>
        <v>-32899</v>
      </c>
      <c r="F119" s="74">
        <f t="shared" si="12"/>
        <v>449701</v>
      </c>
      <c r="G119" s="74">
        <f t="shared" si="12"/>
        <v>413059</v>
      </c>
      <c r="H119" s="74">
        <f t="shared" si="12"/>
        <v>-36642</v>
      </c>
      <c r="I119" s="74">
        <f t="shared" si="12"/>
        <v>119227</v>
      </c>
      <c r="J119" s="74">
        <f t="shared" si="12"/>
        <v>122970</v>
      </c>
      <c r="K119" s="74">
        <f t="shared" si="12"/>
        <v>3743</v>
      </c>
      <c r="L119" s="74">
        <f t="shared" si="12"/>
        <v>0</v>
      </c>
      <c r="M119" s="74">
        <f t="shared" si="12"/>
        <v>0</v>
      </c>
      <c r="N119" s="74">
        <f t="shared" si="12"/>
        <v>0</v>
      </c>
    </row>
    <row r="120" spans="1:14" ht="15" customHeight="1" x14ac:dyDescent="0.25">
      <c r="A120" s="7" t="s">
        <v>426</v>
      </c>
      <c r="B120" s="75" t="s">
        <v>101</v>
      </c>
      <c r="C120" s="76">
        <f t="shared" ref="C120:D129" si="13">F120+I120+L120</f>
        <v>70817</v>
      </c>
      <c r="D120" s="76">
        <f t="shared" si="13"/>
        <v>70951</v>
      </c>
      <c r="E120" s="76">
        <f t="shared" si="7"/>
        <v>134</v>
      </c>
      <c r="F120" s="66">
        <v>0</v>
      </c>
      <c r="G120" s="66"/>
      <c r="H120" s="76">
        <f t="shared" si="8"/>
        <v>0</v>
      </c>
      <c r="I120" s="66">
        <v>70817</v>
      </c>
      <c r="J120" s="66">
        <v>70951</v>
      </c>
      <c r="K120" s="76">
        <f t="shared" si="10"/>
        <v>134</v>
      </c>
      <c r="L120" s="66"/>
      <c r="M120" s="66"/>
      <c r="N120" s="76">
        <f t="shared" si="11"/>
        <v>0</v>
      </c>
    </row>
    <row r="121" spans="1:14" ht="15" customHeight="1" x14ac:dyDescent="0.25">
      <c r="A121" s="7" t="s">
        <v>427</v>
      </c>
      <c r="B121" s="75" t="s">
        <v>102</v>
      </c>
      <c r="C121" s="76">
        <f t="shared" si="13"/>
        <v>282298</v>
      </c>
      <c r="D121" s="76">
        <f t="shared" si="13"/>
        <v>312940</v>
      </c>
      <c r="E121" s="76">
        <f t="shared" si="7"/>
        <v>30642</v>
      </c>
      <c r="F121" s="66">
        <v>280318</v>
      </c>
      <c r="G121" s="66">
        <v>310961</v>
      </c>
      <c r="H121" s="76">
        <f t="shared" si="8"/>
        <v>30643</v>
      </c>
      <c r="I121" s="66">
        <v>1980</v>
      </c>
      <c r="J121" s="66">
        <v>1979</v>
      </c>
      <c r="K121" s="76">
        <f t="shared" si="10"/>
        <v>-1</v>
      </c>
      <c r="L121" s="66"/>
      <c r="M121" s="66"/>
      <c r="N121" s="76">
        <f t="shared" si="11"/>
        <v>0</v>
      </c>
    </row>
    <row r="122" spans="1:14" ht="15" customHeight="1" x14ac:dyDescent="0.25">
      <c r="A122" s="7" t="s">
        <v>428</v>
      </c>
      <c r="B122" s="75" t="s">
        <v>103</v>
      </c>
      <c r="C122" s="76">
        <f t="shared" si="13"/>
        <v>95432</v>
      </c>
      <c r="D122" s="76">
        <f t="shared" si="13"/>
        <v>83837</v>
      </c>
      <c r="E122" s="76">
        <f t="shared" si="7"/>
        <v>-11595</v>
      </c>
      <c r="F122" s="66">
        <v>51437</v>
      </c>
      <c r="G122" s="66">
        <f>28415+5988</f>
        <v>34403</v>
      </c>
      <c r="H122" s="76">
        <f t="shared" si="8"/>
        <v>-17034</v>
      </c>
      <c r="I122" s="66">
        <v>43995</v>
      </c>
      <c r="J122" s="66">
        <v>49434</v>
      </c>
      <c r="K122" s="76">
        <f t="shared" si="10"/>
        <v>5439</v>
      </c>
      <c r="L122" s="66"/>
      <c r="M122" s="66"/>
      <c r="N122" s="76">
        <f t="shared" si="11"/>
        <v>0</v>
      </c>
    </row>
    <row r="123" spans="1:14" ht="15" customHeight="1" x14ac:dyDescent="0.25">
      <c r="A123" s="7" t="s">
        <v>429</v>
      </c>
      <c r="B123" s="75" t="s">
        <v>104</v>
      </c>
      <c r="C123" s="76">
        <f t="shared" si="13"/>
        <v>12712</v>
      </c>
      <c r="D123" s="76">
        <f t="shared" si="13"/>
        <v>16922</v>
      </c>
      <c r="E123" s="76">
        <f t="shared" si="7"/>
        <v>4210</v>
      </c>
      <c r="F123" s="66">
        <v>12712</v>
      </c>
      <c r="G123" s="66">
        <v>16922</v>
      </c>
      <c r="H123" s="76">
        <f t="shared" si="8"/>
        <v>4210</v>
      </c>
      <c r="I123" s="66">
        <v>0</v>
      </c>
      <c r="J123" s="66"/>
      <c r="K123" s="76">
        <f t="shared" si="10"/>
        <v>0</v>
      </c>
      <c r="L123" s="66"/>
      <c r="M123" s="66"/>
      <c r="N123" s="76">
        <f t="shared" si="11"/>
        <v>0</v>
      </c>
    </row>
    <row r="124" spans="1:14" ht="15" customHeight="1" x14ac:dyDescent="0.25">
      <c r="A124" s="7" t="s">
        <v>430</v>
      </c>
      <c r="B124" s="77" t="s">
        <v>105</v>
      </c>
      <c r="C124" s="76">
        <f t="shared" si="13"/>
        <v>1738</v>
      </c>
      <c r="D124" s="76">
        <f t="shared" si="13"/>
        <v>0</v>
      </c>
      <c r="E124" s="76">
        <f t="shared" si="7"/>
        <v>-1738</v>
      </c>
      <c r="F124" s="66">
        <v>0</v>
      </c>
      <c r="G124" s="66"/>
      <c r="H124" s="76">
        <f t="shared" si="8"/>
        <v>0</v>
      </c>
      <c r="I124" s="66">
        <v>1738</v>
      </c>
      <c r="J124" s="66"/>
      <c r="K124" s="76">
        <f t="shared" si="10"/>
        <v>-1738</v>
      </c>
      <c r="L124" s="66"/>
      <c r="M124" s="66"/>
      <c r="N124" s="76">
        <f t="shared" si="11"/>
        <v>0</v>
      </c>
    </row>
    <row r="125" spans="1:14" x14ac:dyDescent="0.25">
      <c r="A125" s="7" t="s">
        <v>431</v>
      </c>
      <c r="B125" s="77" t="s">
        <v>106</v>
      </c>
      <c r="C125" s="76">
        <f t="shared" si="13"/>
        <v>63687</v>
      </c>
      <c r="D125" s="76">
        <f t="shared" si="13"/>
        <v>48450</v>
      </c>
      <c r="E125" s="76">
        <f t="shared" si="7"/>
        <v>-15237</v>
      </c>
      <c r="F125" s="66">
        <v>63687</v>
      </c>
      <c r="G125" s="66">
        <v>48450</v>
      </c>
      <c r="H125" s="76">
        <f t="shared" si="8"/>
        <v>-15237</v>
      </c>
      <c r="I125" s="66">
        <v>0</v>
      </c>
      <c r="J125" s="66"/>
      <c r="K125" s="76">
        <f t="shared" si="10"/>
        <v>0</v>
      </c>
      <c r="L125" s="66"/>
      <c r="M125" s="66"/>
      <c r="N125" s="76">
        <f t="shared" si="11"/>
        <v>0</v>
      </c>
    </row>
    <row r="126" spans="1:14" ht="15.75" customHeight="1" x14ac:dyDescent="0.25">
      <c r="A126" s="7" t="s">
        <v>432</v>
      </c>
      <c r="B126" s="77" t="s">
        <v>433</v>
      </c>
      <c r="C126" s="76">
        <f t="shared" si="13"/>
        <v>16219</v>
      </c>
      <c r="D126" s="76">
        <f t="shared" si="13"/>
        <v>0</v>
      </c>
      <c r="E126" s="76">
        <f t="shared" si="7"/>
        <v>-16219</v>
      </c>
      <c r="F126" s="66">
        <v>16219</v>
      </c>
      <c r="G126" s="66"/>
      <c r="H126" s="76">
        <f t="shared" si="8"/>
        <v>-16219</v>
      </c>
      <c r="I126" s="66">
        <v>0</v>
      </c>
      <c r="J126" s="66"/>
      <c r="K126" s="76"/>
      <c r="L126" s="66"/>
      <c r="M126" s="66"/>
      <c r="N126" s="76"/>
    </row>
    <row r="127" spans="1:14" ht="31.5" x14ac:dyDescent="0.25">
      <c r="A127" s="7" t="s">
        <v>434</v>
      </c>
      <c r="B127" s="77" t="s">
        <v>107</v>
      </c>
      <c r="C127" s="76">
        <f t="shared" si="13"/>
        <v>1290</v>
      </c>
      <c r="D127" s="76">
        <f t="shared" si="13"/>
        <v>1364</v>
      </c>
      <c r="E127" s="76">
        <f t="shared" si="7"/>
        <v>74</v>
      </c>
      <c r="F127" s="66">
        <v>1290</v>
      </c>
      <c r="G127" s="66">
        <v>1364</v>
      </c>
      <c r="H127" s="76">
        <f t="shared" si="8"/>
        <v>74</v>
      </c>
      <c r="I127" s="66">
        <v>0</v>
      </c>
      <c r="J127" s="66"/>
      <c r="K127" s="76">
        <f t="shared" si="10"/>
        <v>0</v>
      </c>
      <c r="L127" s="66"/>
      <c r="M127" s="66"/>
      <c r="N127" s="76">
        <f t="shared" si="11"/>
        <v>0</v>
      </c>
    </row>
    <row r="128" spans="1:14" ht="16.5" customHeight="1" x14ac:dyDescent="0.25">
      <c r="A128" s="7" t="s">
        <v>435</v>
      </c>
      <c r="B128" s="77" t="s">
        <v>436</v>
      </c>
      <c r="C128" s="76">
        <f t="shared" si="13"/>
        <v>24038</v>
      </c>
      <c r="D128" s="76">
        <f t="shared" si="13"/>
        <v>959</v>
      </c>
      <c r="E128" s="76">
        <f t="shared" si="7"/>
        <v>-23079</v>
      </c>
      <c r="F128" s="66">
        <v>24038</v>
      </c>
      <c r="G128" s="66">
        <v>959</v>
      </c>
      <c r="H128" s="76">
        <f t="shared" si="8"/>
        <v>-23079</v>
      </c>
      <c r="I128" s="66">
        <v>0</v>
      </c>
      <c r="J128" s="66"/>
      <c r="K128" s="76">
        <f t="shared" si="10"/>
        <v>0</v>
      </c>
      <c r="L128" s="66"/>
      <c r="M128" s="66"/>
      <c r="N128" s="76">
        <f t="shared" si="11"/>
        <v>0</v>
      </c>
    </row>
    <row r="129" spans="1:14" x14ac:dyDescent="0.25">
      <c r="A129" s="7" t="s">
        <v>437</v>
      </c>
      <c r="B129" s="77" t="s">
        <v>438</v>
      </c>
      <c r="C129" s="76">
        <f t="shared" si="13"/>
        <v>697</v>
      </c>
      <c r="D129" s="76">
        <f t="shared" si="13"/>
        <v>606</v>
      </c>
      <c r="E129" s="76">
        <f t="shared" si="7"/>
        <v>-91</v>
      </c>
      <c r="F129" s="66">
        <v>0</v>
      </c>
      <c r="G129" s="66"/>
      <c r="H129" s="76">
        <f t="shared" si="8"/>
        <v>0</v>
      </c>
      <c r="I129" s="66">
        <v>697</v>
      </c>
      <c r="J129" s="66">
        <v>606</v>
      </c>
      <c r="K129" s="76">
        <f t="shared" si="10"/>
        <v>-91</v>
      </c>
      <c r="L129" s="66"/>
      <c r="M129" s="66"/>
      <c r="N129" s="76">
        <f t="shared" si="11"/>
        <v>0</v>
      </c>
    </row>
    <row r="130" spans="1:14" x14ac:dyDescent="0.25">
      <c r="A130" s="7" t="s">
        <v>439</v>
      </c>
      <c r="B130" s="8" t="s">
        <v>2</v>
      </c>
      <c r="C130" s="63">
        <f t="shared" ref="C130:N130" si="14">+C119+C15+C12+C11</f>
        <v>6724200</v>
      </c>
      <c r="D130" s="63">
        <f t="shared" si="14"/>
        <v>6737145</v>
      </c>
      <c r="E130" s="63">
        <f t="shared" si="14"/>
        <v>12945</v>
      </c>
      <c r="F130" s="63">
        <f t="shared" si="14"/>
        <v>4998063</v>
      </c>
      <c r="G130" s="63">
        <f t="shared" si="14"/>
        <v>4974973</v>
      </c>
      <c r="H130" s="63">
        <f t="shared" si="14"/>
        <v>-23090</v>
      </c>
      <c r="I130" s="63">
        <f t="shared" si="14"/>
        <v>1635987</v>
      </c>
      <c r="J130" s="63">
        <f t="shared" si="14"/>
        <v>1674166</v>
      </c>
      <c r="K130" s="63">
        <f t="shared" si="14"/>
        <v>38179</v>
      </c>
      <c r="L130" s="63">
        <f t="shared" si="14"/>
        <v>90150</v>
      </c>
      <c r="M130" s="63">
        <f t="shared" si="14"/>
        <v>88006</v>
      </c>
      <c r="N130" s="63">
        <f t="shared" si="14"/>
        <v>-2144</v>
      </c>
    </row>
    <row r="131" spans="1:14" x14ac:dyDescent="0.25">
      <c r="B131" s="13"/>
      <c r="C131" s="64"/>
      <c r="D131" s="64"/>
      <c r="E131" s="64"/>
      <c r="F131" s="64"/>
      <c r="G131" s="81"/>
      <c r="H131" s="64"/>
      <c r="I131" s="64"/>
      <c r="J131" s="82"/>
      <c r="K131" s="64"/>
      <c r="L131" s="64"/>
      <c r="M131" s="82"/>
      <c r="N131" s="64"/>
    </row>
    <row r="132" spans="1:14" x14ac:dyDescent="0.25">
      <c r="B132" s="118"/>
      <c r="C132" s="119"/>
      <c r="D132" s="119"/>
      <c r="E132" s="119"/>
      <c r="F132" s="119"/>
      <c r="G132" s="120"/>
      <c r="H132" s="119"/>
      <c r="I132" s="119"/>
      <c r="J132" s="120"/>
      <c r="K132" s="119"/>
      <c r="L132" s="64"/>
      <c r="M132" s="82"/>
      <c r="N132" s="64"/>
    </row>
    <row r="133" spans="1:14" x14ac:dyDescent="0.25">
      <c r="B133" s="13"/>
    </row>
  </sheetData>
  <mergeCells count="8">
    <mergeCell ref="C6:N6"/>
    <mergeCell ref="C7:E8"/>
    <mergeCell ref="A7:A8"/>
    <mergeCell ref="B7:B8"/>
    <mergeCell ref="F7:N7"/>
    <mergeCell ref="F8:H8"/>
    <mergeCell ref="I8:K8"/>
    <mergeCell ref="L8:N8"/>
  </mergeCells>
  <pageMargins left="0.59055118110236227" right="0.19685039370078741" top="0.78740157480314965" bottom="0.39370078740157483" header="0" footer="0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5</vt:i4>
      </vt:variant>
      <vt:variant>
        <vt:lpstr>Įvardinti diapazonai</vt:lpstr>
      </vt:variant>
      <vt:variant>
        <vt:i4>4</vt:i4>
      </vt:variant>
    </vt:vector>
  </HeadingPairs>
  <TitlesOfParts>
    <vt:vector size="9" baseType="lpstr">
      <vt:lpstr>1pr. pajamos</vt:lpstr>
      <vt:lpstr>1 pr. asignavimai</vt:lpstr>
      <vt:lpstr>2 pr.</vt:lpstr>
      <vt:lpstr>3 pr.</vt:lpstr>
      <vt:lpstr>4 pr.</vt:lpstr>
      <vt:lpstr>'1 pr. asignavimai'!Print_Titles</vt:lpstr>
      <vt:lpstr>'1pr. pajamos'!Print_Titles</vt:lpstr>
      <vt:lpstr>'2 pr.'!Print_Titles</vt:lpstr>
      <vt:lpstr>'4 pr.'!Print_Titles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Evaldas Barcas</dc:creator>
  <cp:lastModifiedBy>Virginija Palaimiene</cp:lastModifiedBy>
  <cp:lastPrinted>2016-06-23T10:52:50Z</cp:lastPrinted>
  <dcterms:created xsi:type="dcterms:W3CDTF">2013-11-22T06:09:34Z</dcterms:created>
  <dcterms:modified xsi:type="dcterms:W3CDTF">2016-09-27T06:08:16Z</dcterms:modified>
</cp:coreProperties>
</file>