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30" firstSheet="5" activeTab="5"/>
  </bookViews>
  <sheets>
    <sheet name="Lyginamasis variantas " sheetId="6" state="hidden" r:id="rId1"/>
    <sheet name="Lapas1" sheetId="17" state="hidden" r:id="rId2"/>
    <sheet name="lyginamasis variantas" sheetId="9" state="hidden" r:id="rId3"/>
    <sheet name="2015 m. 7 pr." sheetId="11" state="hidden" r:id="rId4"/>
    <sheet name="Viešoji tvarka" sheetId="12" state="hidden" r:id="rId5"/>
    <sheet name="Daugiabučių namų programa" sheetId="15" r:id="rId6"/>
  </sheets>
  <definedNames>
    <definedName name="_xlnm.Print_Area" localSheetId="3">'2015 m. 7 pr.'!$A$1:$N$152</definedName>
    <definedName name="_xlnm.Print_Area" localSheetId="5">'Daugiabučių namų programa'!$A$1:$GQ$346</definedName>
    <definedName name="_xlnm.Print_Area" localSheetId="0">'Lyginamasis variantas '!$A$1:$R$179</definedName>
    <definedName name="_xlnm.Print_Titles" localSheetId="3">'2015 m. 7 pr.'!$5:$7</definedName>
    <definedName name="_xlnm.Print_Titles" localSheetId="0">'Lyginamasis variantas '!$6:$8</definedName>
  </definedNames>
  <calcPr calcId="145621" fullPrecision="0"/>
</workbook>
</file>

<file path=xl/calcChain.xml><?xml version="1.0" encoding="utf-8"?>
<calcChain xmlns="http://schemas.openxmlformats.org/spreadsheetml/2006/main">
  <c r="H255" i="15" l="1"/>
  <c r="J336" i="15"/>
  <c r="I336" i="15"/>
  <c r="J317" i="15"/>
  <c r="I317" i="15"/>
  <c r="J286" i="15"/>
  <c r="I286" i="15"/>
  <c r="H286" i="15"/>
  <c r="J158" i="15"/>
  <c r="I158" i="15"/>
  <c r="H158" i="15"/>
  <c r="J116" i="15"/>
  <c r="I116" i="15"/>
  <c r="H116" i="15"/>
  <c r="I75" i="15"/>
  <c r="J75" i="15"/>
  <c r="H75" i="15"/>
  <c r="H230" i="15" l="1"/>
  <c r="H336" i="15" l="1"/>
  <c r="H339" i="15" s="1"/>
  <c r="J266" i="15" l="1"/>
  <c r="I266" i="15"/>
  <c r="H266" i="15"/>
  <c r="J188" i="15"/>
  <c r="I188" i="15"/>
  <c r="H188" i="15"/>
  <c r="J254" i="15" l="1"/>
  <c r="I254" i="15"/>
  <c r="H254" i="15"/>
  <c r="J222" i="15"/>
  <c r="I222" i="15"/>
  <c r="H222" i="15"/>
  <c r="J221" i="15"/>
  <c r="I221" i="15"/>
  <c r="H221" i="15"/>
  <c r="J189" i="15"/>
  <c r="I189" i="15"/>
  <c r="H189" i="15"/>
  <c r="J174" i="15"/>
  <c r="I174" i="15"/>
  <c r="H174" i="15"/>
  <c r="J170" i="15"/>
  <c r="I170" i="15"/>
  <c r="H170" i="15"/>
  <c r="J166" i="15"/>
  <c r="I166" i="15"/>
  <c r="H166" i="15"/>
  <c r="J159" i="15"/>
  <c r="I159" i="15"/>
  <c r="H159" i="15"/>
  <c r="H317" i="15"/>
  <c r="H311" i="15"/>
  <c r="J335" i="15"/>
  <c r="I335" i="15"/>
  <c r="H335" i="15"/>
  <c r="H338" i="15" s="1"/>
  <c r="J301" i="15"/>
  <c r="I301" i="15"/>
  <c r="H301" i="15"/>
  <c r="J300" i="15"/>
  <c r="I300" i="15"/>
  <c r="H300" i="15"/>
  <c r="J255" i="15"/>
  <c r="I255" i="15"/>
  <c r="J230" i="15"/>
  <c r="I230" i="15"/>
  <c r="J152" i="15" l="1"/>
  <c r="I152" i="15"/>
  <c r="H152" i="15"/>
  <c r="J144" i="15"/>
  <c r="I144" i="15"/>
  <c r="H144" i="15"/>
  <c r="J124" i="15" l="1"/>
  <c r="I124" i="15"/>
  <c r="H124" i="15"/>
  <c r="J117" i="15"/>
  <c r="I117" i="15"/>
  <c r="H117" i="15"/>
  <c r="J82" i="15" l="1"/>
  <c r="I82" i="15"/>
  <c r="H82" i="15"/>
  <c r="J74" i="15" l="1"/>
  <c r="I74" i="15"/>
  <c r="H74" i="15"/>
  <c r="J46" i="15"/>
  <c r="I46" i="15"/>
  <c r="H46" i="15"/>
  <c r="J35" i="15"/>
  <c r="I35" i="15"/>
  <c r="H35" i="15"/>
  <c r="J34" i="15"/>
  <c r="I34" i="15"/>
  <c r="H34" i="15" l="1"/>
  <c r="J334" i="15" l="1"/>
  <c r="I334" i="15"/>
  <c r="H334" i="15"/>
  <c r="J325" i="15"/>
  <c r="I325" i="15"/>
  <c r="H325" i="15"/>
  <c r="J311" i="15"/>
  <c r="I311" i="15"/>
  <c r="J299" i="15"/>
  <c r="I299" i="15"/>
  <c r="H299" i="15"/>
  <c r="J277" i="15"/>
  <c r="I277" i="15"/>
  <c r="H277" i="15"/>
  <c r="J337" i="15" l="1"/>
  <c r="I337" i="15"/>
  <c r="H337" i="15"/>
  <c r="J302" i="15"/>
  <c r="I302" i="15"/>
  <c r="H302" i="15"/>
  <c r="J253" i="15" l="1"/>
  <c r="I253" i="15"/>
  <c r="H253" i="15"/>
  <c r="J242" i="15"/>
  <c r="I242" i="15"/>
  <c r="H242" i="15"/>
  <c r="J236" i="15"/>
  <c r="I236" i="15"/>
  <c r="H236" i="15"/>
  <c r="H256" i="15" l="1"/>
  <c r="I256" i="15"/>
  <c r="J256" i="15"/>
  <c r="J223" i="15"/>
  <c r="I223" i="15"/>
  <c r="H223" i="15"/>
  <c r="J220" i="15" l="1"/>
  <c r="I220" i="15"/>
  <c r="H220" i="15"/>
  <c r="J207" i="15"/>
  <c r="I207" i="15"/>
  <c r="H207" i="15"/>
  <c r="J202" i="15"/>
  <c r="I202" i="15"/>
  <c r="H202" i="15"/>
  <c r="J197" i="15" l="1"/>
  <c r="I197" i="15"/>
  <c r="H197" i="15"/>
  <c r="J157" i="15"/>
  <c r="I157" i="15"/>
  <c r="H157" i="15"/>
  <c r="J187" i="15"/>
  <c r="I187" i="15"/>
  <c r="H187" i="15"/>
  <c r="I190" i="15" l="1"/>
  <c r="H190" i="15"/>
  <c r="J190" i="15"/>
  <c r="J145" i="15"/>
  <c r="J339" i="15" s="1"/>
  <c r="I145" i="15"/>
  <c r="I339" i="15" s="1"/>
  <c r="H145" i="15"/>
  <c r="J143" i="15"/>
  <c r="I143" i="15"/>
  <c r="H143" i="15"/>
  <c r="J136" i="15"/>
  <c r="I136" i="15"/>
  <c r="H136" i="15"/>
  <c r="J131" i="15"/>
  <c r="I131" i="15"/>
  <c r="H131" i="15"/>
  <c r="J115" i="15"/>
  <c r="I115" i="15"/>
  <c r="H115" i="15"/>
  <c r="J104" i="15"/>
  <c r="I104" i="15"/>
  <c r="H104" i="15"/>
  <c r="J93" i="15"/>
  <c r="I93" i="15"/>
  <c r="H93" i="15"/>
  <c r="H146" i="15" l="1"/>
  <c r="J73" i="15"/>
  <c r="I73" i="15"/>
  <c r="H73" i="15"/>
  <c r="J65" i="15"/>
  <c r="I65" i="15"/>
  <c r="H65" i="15"/>
  <c r="J55" i="15"/>
  <c r="I55" i="15"/>
  <c r="H55" i="15"/>
  <c r="J33" i="15"/>
  <c r="I33" i="15"/>
  <c r="H33" i="15"/>
  <c r="J25" i="15"/>
  <c r="I25" i="15"/>
  <c r="H25" i="15"/>
  <c r="J19" i="15"/>
  <c r="I19" i="15"/>
  <c r="H19" i="15"/>
  <c r="J13" i="15"/>
  <c r="I13" i="15"/>
  <c r="H13" i="15"/>
  <c r="H76" i="15" l="1"/>
  <c r="J76" i="15"/>
  <c r="I76" i="15"/>
  <c r="J118" i="15" l="1"/>
  <c r="I118" i="15"/>
  <c r="H118" i="15"/>
  <c r="I36" i="15" l="1"/>
  <c r="J36" i="15"/>
  <c r="J160" i="15"/>
  <c r="I160" i="15"/>
  <c r="H160" i="15"/>
  <c r="J146" i="15"/>
  <c r="I146" i="15"/>
  <c r="H36" i="15" l="1"/>
  <c r="H340" i="15"/>
  <c r="I338" i="15"/>
  <c r="I340" i="15" s="1"/>
  <c r="J338" i="15"/>
  <c r="J340" i="15" s="1"/>
  <c r="K39" i="12" l="1"/>
  <c r="K38" i="12"/>
  <c r="K37" i="12"/>
  <c r="K36" i="12"/>
  <c r="K34" i="12"/>
  <c r="K33" i="12"/>
  <c r="K32" i="12"/>
  <c r="K31" i="12"/>
  <c r="K30" i="12"/>
  <c r="X20" i="12"/>
  <c r="X21" i="12" s="1"/>
  <c r="X22" i="12" s="1"/>
  <c r="X23" i="12" s="1"/>
  <c r="W20" i="12"/>
  <c r="W21" i="12" s="1"/>
  <c r="W22" i="12" s="1"/>
  <c r="W23" i="12" s="1"/>
  <c r="V20" i="12"/>
  <c r="V21" i="12" s="1"/>
  <c r="V22" i="12" s="1"/>
  <c r="V23" i="12" s="1"/>
  <c r="U20" i="12"/>
  <c r="U21" i="12" s="1"/>
  <c r="U22" i="12" s="1"/>
  <c r="U23" i="12" s="1"/>
  <c r="T20" i="12"/>
  <c r="T21" i="12" s="1"/>
  <c r="T22" i="12" s="1"/>
  <c r="T23" i="12" s="1"/>
  <c r="S20" i="12"/>
  <c r="S21" i="12" s="1"/>
  <c r="S22" i="12" s="1"/>
  <c r="S23" i="12" s="1"/>
  <c r="R20" i="12"/>
  <c r="R21" i="12" s="1"/>
  <c r="Q20" i="12"/>
  <c r="Q21" i="12" s="1"/>
  <c r="Q22" i="12" s="1"/>
  <c r="Q23" i="12" s="1"/>
  <c r="P20" i="12"/>
  <c r="P21" i="12" s="1"/>
  <c r="P22" i="12" s="1"/>
  <c r="P23" i="12" s="1"/>
  <c r="N20" i="12"/>
  <c r="N21" i="12" s="1"/>
  <c r="N22" i="12" s="1"/>
  <c r="N23" i="12" s="1"/>
  <c r="M20" i="12"/>
  <c r="M21" i="12" s="1"/>
  <c r="M22" i="12" s="1"/>
  <c r="M23" i="12" s="1"/>
  <c r="L20" i="12"/>
  <c r="L21" i="12" s="1"/>
  <c r="L22" i="12" s="1"/>
  <c r="L23" i="12" s="1"/>
  <c r="O19" i="12"/>
  <c r="O18" i="12"/>
  <c r="K17" i="12"/>
  <c r="O16" i="12"/>
  <c r="K16" i="12"/>
  <c r="O15" i="12"/>
  <c r="K15" i="12"/>
  <c r="O14" i="12"/>
  <c r="K14" i="12"/>
  <c r="K29" i="12" s="1"/>
  <c r="K35" i="12" l="1"/>
  <c r="K40" i="12" s="1"/>
  <c r="K28" i="12"/>
  <c r="O29" i="12"/>
  <c r="K20" i="12"/>
  <c r="K21" i="12" s="1"/>
  <c r="K22" i="12" s="1"/>
  <c r="K23" i="12" s="1"/>
  <c r="O39" i="12"/>
  <c r="R22" i="12"/>
  <c r="R23" i="12" s="1"/>
  <c r="S36" i="12" s="1"/>
  <c r="O30" i="12"/>
  <c r="O34" i="12"/>
  <c r="O38" i="12"/>
  <c r="O20" i="12"/>
  <c r="O21" i="12" s="1"/>
  <c r="O22" i="12" s="1"/>
  <c r="O23" i="12" s="1"/>
  <c r="O33" i="12"/>
  <c r="O37" i="12"/>
  <c r="O32" i="12"/>
  <c r="S33" i="12"/>
  <c r="O36" i="12"/>
  <c r="O31" i="12"/>
  <c r="S32" i="12"/>
  <c r="S37" i="12" l="1"/>
  <c r="S38" i="12"/>
  <c r="S30" i="12"/>
  <c r="S29" i="12"/>
  <c r="S31" i="12"/>
  <c r="S34" i="12"/>
  <c r="S39" i="12"/>
  <c r="S35" i="12" s="1"/>
  <c r="O35" i="12"/>
  <c r="O28" i="12"/>
  <c r="O40" i="12" s="1"/>
  <c r="S28" i="12" l="1"/>
  <c r="S40" i="12"/>
  <c r="H39" i="11"/>
  <c r="I39" i="11"/>
  <c r="J39" i="11"/>
  <c r="H40" i="11"/>
  <c r="I40" i="11"/>
  <c r="J40" i="11"/>
  <c r="H41" i="11"/>
  <c r="I41" i="11"/>
  <c r="J41" i="11"/>
  <c r="J13" i="11"/>
  <c r="I13" i="11"/>
  <c r="H13" i="11"/>
  <c r="H83" i="11" l="1"/>
  <c r="H82" i="11"/>
  <c r="H81" i="11"/>
  <c r="H84" i="11" s="1"/>
  <c r="H76" i="11" l="1"/>
  <c r="J95" i="11" l="1"/>
  <c r="I95" i="11"/>
  <c r="H95" i="11"/>
  <c r="H96" i="11" s="1"/>
  <c r="J51" i="11" l="1"/>
  <c r="J85" i="11"/>
  <c r="I68" i="11"/>
  <c r="I121" i="11"/>
  <c r="I123" i="11" s="1"/>
  <c r="I126" i="11"/>
  <c r="I132" i="11" s="1"/>
  <c r="I133" i="11" s="1"/>
  <c r="I99" i="11"/>
  <c r="J68" i="11" l="1"/>
  <c r="J126" i="11" l="1"/>
  <c r="H126" i="11"/>
  <c r="J121" i="11"/>
  <c r="H121" i="11"/>
  <c r="H123" i="11" s="1"/>
  <c r="I119" i="11"/>
  <c r="I120" i="11" s="1"/>
  <c r="J119" i="11"/>
  <c r="J120" i="11" s="1"/>
  <c r="H119" i="11"/>
  <c r="H120" i="11" s="1"/>
  <c r="J114" i="11"/>
  <c r="I114" i="11"/>
  <c r="H114" i="11"/>
  <c r="H116" i="11" s="1"/>
  <c r="J99" i="11"/>
  <c r="H99" i="11"/>
  <c r="H93" i="11"/>
  <c r="H94" i="11" s="1"/>
  <c r="H86" i="11"/>
  <c r="I85" i="11"/>
  <c r="H85" i="11"/>
  <c r="J78" i="11"/>
  <c r="I78" i="11"/>
  <c r="I80" i="11" s="1"/>
  <c r="H78" i="11"/>
  <c r="H80" i="11" s="1"/>
  <c r="J75" i="11"/>
  <c r="I75" i="11"/>
  <c r="I77" i="11" s="1"/>
  <c r="H68" i="11"/>
  <c r="H77" i="11" s="1"/>
  <c r="J52" i="11"/>
  <c r="J67" i="11" s="1"/>
  <c r="I52" i="11"/>
  <c r="H52" i="11"/>
  <c r="I51" i="11"/>
  <c r="I67" i="11" s="1"/>
  <c r="H51" i="11"/>
  <c r="J50" i="11"/>
  <c r="I50" i="11"/>
  <c r="J37" i="11"/>
  <c r="I37" i="11"/>
  <c r="J36" i="11"/>
  <c r="I36" i="11"/>
  <c r="J35" i="11"/>
  <c r="I35" i="11"/>
  <c r="J34" i="11"/>
  <c r="H33" i="11"/>
  <c r="H32" i="11"/>
  <c r="I31" i="11"/>
  <c r="H30" i="11"/>
  <c r="I25" i="11"/>
  <c r="H25" i="11"/>
  <c r="J38" i="11" l="1"/>
  <c r="I38" i="11"/>
  <c r="H92" i="11"/>
  <c r="H50" i="11"/>
  <c r="J77" i="11"/>
  <c r="I141" i="11"/>
  <c r="J141" i="11"/>
  <c r="H141" i="11"/>
  <c r="H38" i="11"/>
  <c r="I92" i="11"/>
  <c r="I111" i="11"/>
  <c r="I112" i="11" s="1"/>
  <c r="I151" i="11"/>
  <c r="I144" i="11"/>
  <c r="M85" i="11" l="1"/>
  <c r="N85" i="11"/>
  <c r="L85" i="11"/>
  <c r="H67" i="11"/>
  <c r="J92" i="11" l="1"/>
  <c r="J145" i="11" l="1"/>
  <c r="J150" i="11" l="1"/>
  <c r="J142" i="11"/>
  <c r="J143" i="11"/>
  <c r="J144" i="11"/>
  <c r="H144" i="11"/>
  <c r="H148" i="11"/>
  <c r="H150" i="11"/>
  <c r="H151" i="11"/>
  <c r="H111" i="11"/>
  <c r="H112" i="11" s="1"/>
  <c r="J111" i="11"/>
  <c r="J112" i="11" s="1"/>
  <c r="H149" i="11"/>
  <c r="H146" i="11"/>
  <c r="H145" i="11"/>
  <c r="H143" i="11"/>
  <c r="H142" i="11"/>
  <c r="H132" i="11"/>
  <c r="H133" i="11" s="1"/>
  <c r="H117" i="11"/>
  <c r="H124" i="11" l="1"/>
  <c r="H147" i="11"/>
  <c r="H140" i="11"/>
  <c r="J151" i="11"/>
  <c r="I150" i="11"/>
  <c r="J149" i="11"/>
  <c r="I149" i="11"/>
  <c r="J148" i="11"/>
  <c r="I148" i="11"/>
  <c r="I147" i="11" s="1"/>
  <c r="J146" i="11"/>
  <c r="I146" i="11"/>
  <c r="I145" i="11"/>
  <c r="I143" i="11"/>
  <c r="I142" i="11"/>
  <c r="J132" i="11"/>
  <c r="J133" i="11" s="1"/>
  <c r="J123" i="11"/>
  <c r="J116" i="11"/>
  <c r="J117" i="11" s="1"/>
  <c r="I116" i="11"/>
  <c r="I117" i="11" s="1"/>
  <c r="J96" i="11"/>
  <c r="I96" i="11"/>
  <c r="J94" i="11"/>
  <c r="I94" i="11"/>
  <c r="J84" i="11"/>
  <c r="I84" i="11"/>
  <c r="J140" i="11" l="1"/>
  <c r="I140" i="11"/>
  <c r="I152" i="11" s="1"/>
  <c r="H97" i="11"/>
  <c r="H152" i="11"/>
  <c r="J147" i="11"/>
  <c r="J152" i="11" s="1"/>
  <c r="J124" i="11"/>
  <c r="J80" i="11"/>
  <c r="I124" i="11"/>
  <c r="I97" i="11"/>
  <c r="J97" i="11" l="1"/>
  <c r="J134" i="11" s="1"/>
  <c r="J135" i="11" s="1"/>
  <c r="H134" i="11"/>
  <c r="H135" i="11" s="1"/>
  <c r="I179" i="9" l="1"/>
  <c r="N176" i="9"/>
  <c r="M176" i="9"/>
  <c r="L176" i="9"/>
  <c r="J176" i="9"/>
  <c r="I174" i="9"/>
  <c r="I176" i="9" s="1"/>
  <c r="N173" i="9"/>
  <c r="M173" i="9"/>
  <c r="L173" i="9"/>
  <c r="K173" i="9"/>
  <c r="J173" i="9"/>
  <c r="I171" i="9"/>
  <c r="I173" i="9" s="1"/>
  <c r="N170" i="9"/>
  <c r="M170" i="9"/>
  <c r="L170" i="9"/>
  <c r="K170" i="9"/>
  <c r="J170" i="9"/>
  <c r="I164" i="9"/>
  <c r="I170" i="9" s="1"/>
  <c r="N161" i="9"/>
  <c r="M161" i="9"/>
  <c r="L161" i="9"/>
  <c r="K161" i="9"/>
  <c r="J161" i="9"/>
  <c r="J162" i="9" s="1"/>
  <c r="I159" i="9"/>
  <c r="I161" i="9" s="1"/>
  <c r="N158" i="9"/>
  <c r="K158" i="9"/>
  <c r="I156" i="9"/>
  <c r="N149" i="9"/>
  <c r="M149" i="9"/>
  <c r="L149" i="9"/>
  <c r="J149" i="9"/>
  <c r="I148" i="9"/>
  <c r="N147" i="9"/>
  <c r="M147" i="9"/>
  <c r="L147" i="9"/>
  <c r="K147" i="9"/>
  <c r="J147" i="9"/>
  <c r="I146" i="9"/>
  <c r="I145" i="9"/>
  <c r="N144" i="9"/>
  <c r="M144" i="9"/>
  <c r="L144" i="9"/>
  <c r="K144" i="9"/>
  <c r="J144" i="9"/>
  <c r="I143" i="9"/>
  <c r="I142" i="9"/>
  <c r="N141" i="9"/>
  <c r="M141" i="9"/>
  <c r="L141" i="9"/>
  <c r="K141" i="9"/>
  <c r="J141" i="9"/>
  <c r="I140" i="9"/>
  <c r="I139" i="9"/>
  <c r="I138" i="9"/>
  <c r="N135" i="9"/>
  <c r="M135" i="9"/>
  <c r="L135" i="9"/>
  <c r="K135" i="9"/>
  <c r="J135" i="9"/>
  <c r="I134" i="9"/>
  <c r="I133" i="9"/>
  <c r="N132" i="9"/>
  <c r="M132" i="9"/>
  <c r="L132" i="9"/>
  <c r="K132" i="9"/>
  <c r="J132" i="9"/>
  <c r="I131" i="9"/>
  <c r="I130" i="9"/>
  <c r="N129" i="9"/>
  <c r="M129" i="9"/>
  <c r="L129" i="9"/>
  <c r="K129" i="9"/>
  <c r="J129" i="9"/>
  <c r="I128" i="9"/>
  <c r="I127" i="9"/>
  <c r="I129" i="9" s="1"/>
  <c r="N126" i="9"/>
  <c r="M126" i="9"/>
  <c r="L126" i="9"/>
  <c r="K126" i="9"/>
  <c r="J126" i="9"/>
  <c r="I125" i="9"/>
  <c r="I124" i="9"/>
  <c r="N123" i="9"/>
  <c r="M123" i="9"/>
  <c r="L123" i="9"/>
  <c r="K123" i="9"/>
  <c r="J123" i="9"/>
  <c r="I119" i="9"/>
  <c r="I123" i="9" s="1"/>
  <c r="N118" i="9"/>
  <c r="M118" i="9"/>
  <c r="L118" i="9"/>
  <c r="K118" i="9"/>
  <c r="J118" i="9"/>
  <c r="I116" i="9"/>
  <c r="I118" i="9" s="1"/>
  <c r="N115" i="9"/>
  <c r="M115" i="9"/>
  <c r="L115" i="9"/>
  <c r="K115" i="9"/>
  <c r="J115" i="9"/>
  <c r="I114" i="9"/>
  <c r="I113" i="9"/>
  <c r="I112" i="9"/>
  <c r="N109" i="9"/>
  <c r="M109" i="9"/>
  <c r="L109" i="9"/>
  <c r="K109" i="9"/>
  <c r="J109" i="9"/>
  <c r="I97" i="9"/>
  <c r="P95" i="9"/>
  <c r="I95" i="9"/>
  <c r="N94" i="9"/>
  <c r="M94" i="9"/>
  <c r="L94" i="9"/>
  <c r="K94" i="9"/>
  <c r="J94" i="9"/>
  <c r="I93" i="9"/>
  <c r="I92" i="9"/>
  <c r="I91" i="9"/>
  <c r="N90" i="9"/>
  <c r="M90" i="9"/>
  <c r="L90" i="9"/>
  <c r="K90" i="9"/>
  <c r="J90" i="9"/>
  <c r="I88" i="9"/>
  <c r="I90" i="9" s="1"/>
  <c r="N87" i="9"/>
  <c r="M87" i="9"/>
  <c r="L87" i="9"/>
  <c r="K87" i="9"/>
  <c r="I85" i="9"/>
  <c r="I84" i="9"/>
  <c r="I83" i="9"/>
  <c r="J82" i="9"/>
  <c r="J87" i="9" s="1"/>
  <c r="L81" i="9"/>
  <c r="K81" i="9"/>
  <c r="J81" i="9"/>
  <c r="I80" i="9"/>
  <c r="I79" i="9"/>
  <c r="R78" i="9"/>
  <c r="Q78" i="9"/>
  <c r="P78" i="9"/>
  <c r="N78" i="9"/>
  <c r="N81" i="9" s="1"/>
  <c r="M78" i="9"/>
  <c r="M81" i="9" s="1"/>
  <c r="I78" i="9"/>
  <c r="N77" i="9"/>
  <c r="M77" i="9"/>
  <c r="L77" i="9"/>
  <c r="K77" i="9"/>
  <c r="J77" i="9"/>
  <c r="I73" i="9"/>
  <c r="L62" i="9"/>
  <c r="K62" i="9"/>
  <c r="I62" i="9"/>
  <c r="N61" i="9"/>
  <c r="M61" i="9"/>
  <c r="K61" i="9"/>
  <c r="L46" i="9"/>
  <c r="I46" i="9" s="1"/>
  <c r="L45" i="9"/>
  <c r="J45" i="9"/>
  <c r="L44" i="9"/>
  <c r="K44" i="9"/>
  <c r="J44" i="9"/>
  <c r="I43" i="9"/>
  <c r="I42" i="9"/>
  <c r="I34" i="9"/>
  <c r="N33" i="9"/>
  <c r="N44" i="9" s="1"/>
  <c r="M33" i="9"/>
  <c r="M44" i="9" s="1"/>
  <c r="I33" i="9"/>
  <c r="N32" i="9"/>
  <c r="M32" i="9"/>
  <c r="K32" i="9"/>
  <c r="I30" i="9"/>
  <c r="I28" i="9"/>
  <c r="L13" i="9"/>
  <c r="L32" i="9" s="1"/>
  <c r="J13" i="9"/>
  <c r="I81" i="9" l="1"/>
  <c r="I109" i="9"/>
  <c r="I13" i="9"/>
  <c r="I45" i="9"/>
  <c r="I61" i="9" s="1"/>
  <c r="I147" i="9"/>
  <c r="K162" i="9"/>
  <c r="I77" i="9"/>
  <c r="I44" i="9"/>
  <c r="J136" i="9"/>
  <c r="N136" i="9"/>
  <c r="I135" i="9"/>
  <c r="I144" i="9"/>
  <c r="M150" i="9"/>
  <c r="I149" i="9"/>
  <c r="J177" i="9"/>
  <c r="N177" i="9"/>
  <c r="K136" i="9"/>
  <c r="J150" i="9"/>
  <c r="N150" i="9"/>
  <c r="K177" i="9"/>
  <c r="L61" i="9"/>
  <c r="L110" i="9" s="1"/>
  <c r="L136" i="9"/>
  <c r="I132" i="9"/>
  <c r="K150" i="9"/>
  <c r="L177" i="9"/>
  <c r="I82" i="9"/>
  <c r="I87" i="9" s="1"/>
  <c r="I94" i="9"/>
  <c r="K110" i="9"/>
  <c r="K178" i="9" s="1"/>
  <c r="K179" i="9" s="1"/>
  <c r="I115" i="9"/>
  <c r="I126" i="9"/>
  <c r="M136" i="9"/>
  <c r="I141" i="9"/>
  <c r="I150" i="9" s="1"/>
  <c r="L150" i="9"/>
  <c r="N162" i="9"/>
  <c r="M177" i="9"/>
  <c r="N110" i="9"/>
  <c r="I177" i="9"/>
  <c r="M110" i="9"/>
  <c r="J61" i="9"/>
  <c r="I136" i="9" l="1"/>
  <c r="N178" i="9"/>
  <c r="N179" i="9" s="1"/>
  <c r="I30" i="6"/>
  <c r="J44" i="6" l="1"/>
  <c r="I43" i="6" l="1"/>
  <c r="M32" i="6" l="1"/>
  <c r="I95" i="6"/>
  <c r="J45" i="6" l="1"/>
  <c r="L45" i="6"/>
  <c r="J13" i="6"/>
  <c r="L13" i="6"/>
  <c r="P95" i="6" l="1"/>
  <c r="J77" i="6"/>
  <c r="I73" i="6"/>
  <c r="I28" i="6"/>
  <c r="J82" i="6" l="1"/>
  <c r="J109" i="6"/>
  <c r="K109" i="6"/>
  <c r="L109" i="6"/>
  <c r="I97" i="6"/>
  <c r="K158" i="6" l="1"/>
  <c r="N158" i="6"/>
  <c r="I13" i="6"/>
  <c r="M109" i="6"/>
  <c r="N109" i="6"/>
  <c r="I109" i="6"/>
  <c r="N77" i="6"/>
  <c r="M77" i="6"/>
  <c r="I62" i="6"/>
  <c r="I77" i="6" s="1"/>
  <c r="K62" i="6"/>
  <c r="L62" i="6"/>
  <c r="J61" i="6"/>
  <c r="K61" i="6"/>
  <c r="M61" i="6"/>
  <c r="N61" i="6"/>
  <c r="L46" i="6"/>
  <c r="I46" i="6" s="1"/>
  <c r="I45" i="6"/>
  <c r="K44" i="6"/>
  <c r="L44" i="6"/>
  <c r="I34" i="6"/>
  <c r="I42" i="6"/>
  <c r="N33" i="6"/>
  <c r="N44" i="6" s="1"/>
  <c r="M33" i="6"/>
  <c r="M44" i="6" s="1"/>
  <c r="I33" i="6"/>
  <c r="N32" i="6"/>
  <c r="K32" i="6"/>
  <c r="L32" i="6"/>
  <c r="I44" i="6" l="1"/>
  <c r="I61" i="6"/>
  <c r="L61" i="6"/>
  <c r="N176" i="6"/>
  <c r="M176" i="6"/>
  <c r="L176" i="6"/>
  <c r="J176" i="6"/>
  <c r="I174" i="6"/>
  <c r="I176" i="6" s="1"/>
  <c r="N173" i="6"/>
  <c r="M173" i="6"/>
  <c r="L173" i="6"/>
  <c r="K173" i="6"/>
  <c r="J173" i="6"/>
  <c r="I171" i="6"/>
  <c r="I173" i="6" s="1"/>
  <c r="N170" i="6"/>
  <c r="M170" i="6"/>
  <c r="L170" i="6"/>
  <c r="K170" i="6"/>
  <c r="J170" i="6"/>
  <c r="I164" i="6"/>
  <c r="N161" i="6"/>
  <c r="N162" i="6" s="1"/>
  <c r="M161" i="6"/>
  <c r="L161" i="6"/>
  <c r="K161" i="6"/>
  <c r="K162" i="6" s="1"/>
  <c r="J161" i="6"/>
  <c r="J162" i="6" s="1"/>
  <c r="I159" i="6"/>
  <c r="I161" i="6" s="1"/>
  <c r="I156" i="6"/>
  <c r="N149" i="6"/>
  <c r="M149" i="6"/>
  <c r="L149" i="6"/>
  <c r="J149" i="6"/>
  <c r="I148" i="6"/>
  <c r="N147" i="6"/>
  <c r="M147" i="6"/>
  <c r="L147" i="6"/>
  <c r="K147" i="6"/>
  <c r="J147" i="6"/>
  <c r="I146" i="6"/>
  <c r="I145" i="6"/>
  <c r="N144" i="6"/>
  <c r="M144" i="6"/>
  <c r="L144" i="6"/>
  <c r="K144" i="6"/>
  <c r="J144" i="6"/>
  <c r="I143" i="6"/>
  <c r="I142" i="6"/>
  <c r="N141" i="6"/>
  <c r="M141" i="6"/>
  <c r="L141" i="6"/>
  <c r="K141" i="6"/>
  <c r="J141" i="6"/>
  <c r="I140" i="6"/>
  <c r="I139" i="6"/>
  <c r="I138" i="6"/>
  <c r="N135" i="6"/>
  <c r="M135" i="6"/>
  <c r="L135" i="6"/>
  <c r="K135" i="6"/>
  <c r="J135" i="6"/>
  <c r="I134" i="6"/>
  <c r="I133" i="6"/>
  <c r="N132" i="6"/>
  <c r="M132" i="6"/>
  <c r="L132" i="6"/>
  <c r="K132" i="6"/>
  <c r="J132" i="6"/>
  <c r="I131" i="6"/>
  <c r="I130" i="6"/>
  <c r="N129" i="6"/>
  <c r="M129" i="6"/>
  <c r="L129" i="6"/>
  <c r="K129" i="6"/>
  <c r="J129" i="6"/>
  <c r="I128" i="6"/>
  <c r="I127" i="6"/>
  <c r="N126" i="6"/>
  <c r="M126" i="6"/>
  <c r="L126" i="6"/>
  <c r="K126" i="6"/>
  <c r="J126" i="6"/>
  <c r="I125" i="6"/>
  <c r="I124" i="6"/>
  <c r="N123" i="6"/>
  <c r="M123" i="6"/>
  <c r="L123" i="6"/>
  <c r="K123" i="6"/>
  <c r="J123" i="6"/>
  <c r="I119" i="6"/>
  <c r="N118" i="6"/>
  <c r="M118" i="6"/>
  <c r="L118" i="6"/>
  <c r="K118" i="6"/>
  <c r="J118" i="6"/>
  <c r="I116" i="6"/>
  <c r="N115" i="6"/>
  <c r="M115" i="6"/>
  <c r="L115" i="6"/>
  <c r="K115" i="6"/>
  <c r="J115" i="6"/>
  <c r="I114" i="6"/>
  <c r="I113" i="6"/>
  <c r="I112" i="6"/>
  <c r="N94" i="6"/>
  <c r="M94" i="6"/>
  <c r="L94" i="6"/>
  <c r="K94" i="6"/>
  <c r="J94" i="6"/>
  <c r="I93" i="6"/>
  <c r="I92" i="6"/>
  <c r="I91" i="6"/>
  <c r="N90" i="6"/>
  <c r="M90" i="6"/>
  <c r="L90" i="6"/>
  <c r="K90" i="6"/>
  <c r="J90" i="6"/>
  <c r="I88" i="6"/>
  <c r="N87" i="6"/>
  <c r="M87" i="6"/>
  <c r="L87" i="6"/>
  <c r="K87" i="6"/>
  <c r="J87" i="6"/>
  <c r="I85" i="6"/>
  <c r="I84" i="6"/>
  <c r="I83" i="6"/>
  <c r="I82" i="6"/>
  <c r="L81" i="6"/>
  <c r="K81" i="6"/>
  <c r="J81" i="6"/>
  <c r="I80" i="6"/>
  <c r="I79" i="6"/>
  <c r="R78" i="6"/>
  <c r="Q78" i="6"/>
  <c r="P78" i="6"/>
  <c r="N78" i="6"/>
  <c r="M78" i="6"/>
  <c r="I78" i="6"/>
  <c r="L77" i="6"/>
  <c r="K77" i="6"/>
  <c r="M150" i="6" l="1"/>
  <c r="I87" i="6"/>
  <c r="J136" i="6"/>
  <c r="M81" i="6"/>
  <c r="M110" i="6" s="1"/>
  <c r="L110" i="6"/>
  <c r="K110" i="6"/>
  <c r="I81" i="6"/>
  <c r="I132" i="6"/>
  <c r="I118" i="6"/>
  <c r="I147" i="6"/>
  <c r="I90" i="6"/>
  <c r="I115" i="6"/>
  <c r="M136" i="6"/>
  <c r="J150" i="6"/>
  <c r="N150" i="6"/>
  <c r="L150" i="6"/>
  <c r="N177" i="6"/>
  <c r="I94" i="6"/>
  <c r="N136" i="6"/>
  <c r="K177" i="6"/>
  <c r="I126" i="6"/>
  <c r="I141" i="6"/>
  <c r="I144" i="6"/>
  <c r="K150" i="6"/>
  <c r="M177" i="6"/>
  <c r="I123" i="6"/>
  <c r="I129" i="6"/>
  <c r="L136" i="6"/>
  <c r="L177" i="6"/>
  <c r="N81" i="6"/>
  <c r="N110" i="6" s="1"/>
  <c r="I135" i="6"/>
  <c r="I149" i="6"/>
  <c r="I170" i="6"/>
  <c r="I177" i="6" s="1"/>
  <c r="K136" i="6"/>
  <c r="J177" i="6"/>
  <c r="I136" i="6" l="1"/>
  <c r="N178" i="6"/>
  <c r="N179" i="6" s="1"/>
  <c r="K178" i="6"/>
  <c r="K179" i="6" s="1"/>
  <c r="I150" i="6"/>
  <c r="I179" i="6" l="1"/>
  <c r="I134" i="11"/>
  <c r="I135" i="11" s="1"/>
</calcChain>
</file>

<file path=xl/comments1.xml><?xml version="1.0" encoding="utf-8"?>
<comments xmlns="http://schemas.openxmlformats.org/spreadsheetml/2006/main">
  <authors>
    <author>Audra Cepiene</author>
  </authors>
  <commentList>
    <comment ref="E100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comments2.xml><?xml version="1.0" encoding="utf-8"?>
<comments xmlns="http://schemas.openxmlformats.org/spreadsheetml/2006/main">
  <authors>
    <author>Audra Cepiene</author>
  </authors>
  <commentList>
    <comment ref="E100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comments3.xml><?xml version="1.0" encoding="utf-8"?>
<comments xmlns="http://schemas.openxmlformats.org/spreadsheetml/2006/main">
  <authors>
    <author>Audra Cepiene</author>
    <author>Indre Buteniene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186"/>
          </rPr>
          <t>KSP 2.4.2.4.</t>
        </r>
        <r>
          <rPr>
            <sz val="9"/>
            <color indexed="81"/>
            <rFont val="Tahoma"/>
            <family val="2"/>
            <charset val="186"/>
          </rPr>
          <t xml:space="preserve">
Atnaujinti miesto centre esančius fontanus įrengiant šviesos instaliacijas ar kt. efektus 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 xml:space="preserve">Eksplotuojami  fontanai: "Taravos Anikė" ir "Laivelis" Meridiano skvere. Nuo 2016 m. - Debreceno aikštės fontanas.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2.4.2.5. KSP priemonė: </t>
        </r>
        <r>
          <rPr>
            <sz val="9"/>
            <color indexed="81"/>
            <rFont val="Tahoma"/>
            <family val="2"/>
            <charset val="186"/>
          </rPr>
          <t>Atnaujinti gyvenamųjų kvartalų centrines aikštes ir kitas viešąsias erdves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86"/>
          </rPr>
          <t>KSP priemonė:</t>
        </r>
        <r>
          <rPr>
            <sz val="9"/>
            <color indexed="81"/>
            <rFont val="Tahoma"/>
            <family val="2"/>
            <charset val="186"/>
          </rPr>
          <t xml:space="preserve">
Sutvarkyti senamiesčio ir istorinės miesto dalies reprezentacinių viešųjų erdvių (Teatro, Turgaus, Atgimimo aikščių, Ferdinando ir kitų skverų) infrastruktūrą pritaikant jas turizmo reikmėms bei renginiams 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2.4.2.5. KSP priemonė: </t>
        </r>
        <r>
          <rPr>
            <sz val="9"/>
            <color indexed="81"/>
            <rFont val="Tahoma"/>
            <family val="2"/>
            <charset val="186"/>
          </rPr>
          <t xml:space="preserve">Atnaujinti gyvenamųjų kvartalų centrines aikštes ir kitas viešąsias erdves
</t>
        </r>
      </text>
    </comment>
    <comment ref="J34" authorId="1">
      <text>
        <r>
          <rPr>
            <sz val="9"/>
            <color indexed="81"/>
            <rFont val="Tahoma"/>
            <family val="2"/>
            <charset val="186"/>
          </rPr>
          <t>Iš viso projekto vertė 500 tūkst. lt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86"/>
          </rPr>
          <t>2.4.2.6 KSP priemonė:</t>
        </r>
        <r>
          <rPr>
            <sz val="9"/>
            <color indexed="81"/>
            <rFont val="Tahoma"/>
            <family val="2"/>
            <charset val="186"/>
          </rPr>
          <t xml:space="preserve">
Atnaujinti Atgimimo aikštės teritoriją</t>
        </r>
      </text>
    </comment>
    <comment ref="G41" authorId="0">
      <text>
        <r>
          <rPr>
            <sz val="9"/>
            <color indexed="81"/>
            <rFont val="Tahoma"/>
            <family val="2"/>
            <charset val="186"/>
          </rPr>
          <t xml:space="preserve">Rinkliavos lėšos už šunų ir kačių laikymą
</t>
        </r>
      </text>
    </comment>
    <comment ref="K47" authorId="0">
      <text>
        <r>
          <rPr>
            <sz val="9"/>
            <color indexed="81"/>
            <rFont val="Tahoma"/>
            <family val="2"/>
            <charset val="186"/>
          </rPr>
          <t xml:space="preserve">Šunys, katės ir kt. gyvūnai (šeškai, paukščiai, laukiniai gyvūnai (ruoniai, šernai ir kt.)
</t>
        </r>
      </text>
    </comment>
    <comment ref="K48" authorId="0">
      <text>
        <r>
          <rPr>
            <sz val="9"/>
            <color indexed="81"/>
            <rFont val="Tahoma"/>
            <family val="2"/>
            <charset val="186"/>
          </rPr>
          <t xml:space="preserve">Pagal teisės aktus sugautus ar priimtus iš gyventojų sveikus gyvūnus (šunis ir kates) laiko </t>
        </r>
        <r>
          <rPr>
            <b/>
            <sz val="9"/>
            <color indexed="81"/>
            <rFont val="Tahoma"/>
            <family val="2"/>
            <charset val="186"/>
          </rPr>
          <t>3 paras</t>
        </r>
        <r>
          <rPr>
            <sz val="9"/>
            <color indexed="81"/>
            <rFont val="Tahoma"/>
            <family val="2"/>
            <charset val="186"/>
          </rPr>
          <t xml:space="preserve">;
užtikrina gyvūnų gaudymo, surinkimo ir karantinavimo tarnyboje laikomų gyvūnų </t>
        </r>
        <r>
          <rPr>
            <b/>
            <sz val="9"/>
            <color indexed="81"/>
            <rFont val="Tahoma"/>
            <family val="2"/>
            <charset val="186"/>
          </rPr>
          <t>šėrimą,</t>
        </r>
        <r>
          <rPr>
            <sz val="9"/>
            <color indexed="81"/>
            <rFont val="Tahoma"/>
            <family val="2"/>
            <charset val="186"/>
          </rPr>
          <t xml:space="preserve"> laikymo ar karantinavimo laikotarpiu,</t>
        </r>
        <r>
          <rPr>
            <b/>
            <sz val="9"/>
            <color indexed="81"/>
            <rFont val="Tahoma"/>
            <family val="2"/>
            <charset val="186"/>
          </rPr>
          <t xml:space="preserve"> jiems pritaikytu ėdalu</t>
        </r>
      </text>
    </comment>
    <comment ref="E51" authorId="0">
      <text>
        <r>
          <rPr>
            <sz val="9"/>
            <color indexed="81"/>
            <rFont val="Tahoma"/>
            <family val="2"/>
            <charset val="186"/>
          </rPr>
          <t>2.4.2.8
Diegti aukšto lygio paslaugų ir infrastruktūros parametrus miesto paplūdimiuose ir kitose poilsio zonose</t>
        </r>
      </text>
    </comment>
    <comment ref="K56" authorId="0">
      <text>
        <r>
          <rPr>
            <b/>
            <sz val="9"/>
            <color indexed="81"/>
            <rFont val="Tahoma"/>
            <family val="2"/>
            <charset val="186"/>
          </rPr>
          <t>Audra Cepiene:</t>
        </r>
        <r>
          <rPr>
            <sz val="9"/>
            <color indexed="81"/>
            <rFont val="Tahoma"/>
            <family val="2"/>
            <charset val="186"/>
          </rPr>
          <t xml:space="preserve">
Viešieji tualetai Stovyklų g. 4 –21,79 m2
Viešieji tualetai I Melnragė Kopų g. 1A – 87,25 m2
;</t>
        </r>
      </text>
    </comment>
    <comment ref="E68" authorId="0">
      <text>
        <r>
          <rPr>
            <b/>
            <sz val="9"/>
            <color indexed="81"/>
            <rFont val="Tahoma"/>
            <family val="2"/>
            <charset val="186"/>
          </rPr>
          <t>KSP 2.3.2.5</t>
        </r>
        <r>
          <rPr>
            <sz val="9"/>
            <color indexed="81"/>
            <rFont val="Tahoma"/>
            <family val="2"/>
            <charset val="186"/>
          </rPr>
          <t xml:space="preserve">
Gerinti Klaipėdos miesto viešųjų erdvių apšvietimo efektyvumą ir kokybę</t>
        </r>
      </text>
    </comment>
    <comment ref="E75" authorId="0">
      <text>
        <r>
          <rPr>
            <b/>
            <sz val="9"/>
            <color indexed="81"/>
            <rFont val="Tahoma"/>
            <family val="2"/>
            <charset val="186"/>
          </rPr>
          <t>KSP 2.3.2.1</t>
        </r>
        <r>
          <rPr>
            <sz val="9"/>
            <color indexed="81"/>
            <rFont val="Tahoma"/>
            <family val="2"/>
            <charset val="186"/>
          </rPr>
          <t xml:space="preserve">
Parengti ir įgyvendinti atsinaujinančių energijos šaltinių panaudojimo plėtros planą</t>
        </r>
      </text>
    </comment>
    <comment ref="E81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2.4.1.2. KSP </t>
        </r>
        <r>
          <rPr>
            <sz val="9"/>
            <color indexed="81"/>
            <rFont val="Tahoma"/>
            <family val="2"/>
            <charset val="186"/>
          </rPr>
          <t>Sutvarkyti ir pritaikyti visuomenės arba rekreaciniams poreikiams Danės upės slėnio ir žiočių teritorijas; Danės upę pritaikyti laivybai, rekonstruoti Danės upės krantines nuo Biržos tilto iki Mokyklos gatvės tilto: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87" authorId="0">
      <text>
        <r>
          <rPr>
            <sz val="9"/>
            <color indexed="81"/>
            <rFont val="Tahoma"/>
            <family val="2"/>
            <charset val="186"/>
          </rPr>
          <t xml:space="preserve">1.6.3.3 . Pertvarkyti futbolo mokyklos ir baseino pastatus (taikant modernias technologijas ir atsinaujinančius energijos šaltinius), įkuriant sporto paslaugų kompleksą, skirtą įvairioms amžiaus grupėms
 </t>
        </r>
      </text>
    </comment>
    <comment ref="E88" authorId="0">
      <text>
        <r>
          <rPr>
            <sz val="9"/>
            <color indexed="81"/>
            <rFont val="Tahoma"/>
            <family val="2"/>
            <charset val="186"/>
          </rPr>
          <t xml:space="preserve">Pertvarkyti II vandenvietę, pritaikant buvusią infrastruktūrą švietimo, sporto, saviraiškos reikmėms (naudojant pažangias technologijas ir atsinaujinančius energijos šaltinius)
</t>
        </r>
      </text>
    </comment>
  </commentList>
</comments>
</file>

<file path=xl/sharedStrings.xml><?xml version="1.0" encoding="utf-8"?>
<sst xmlns="http://schemas.openxmlformats.org/spreadsheetml/2006/main" count="2001" uniqueCount="818">
  <si>
    <t>tūkst. Lt</t>
  </si>
  <si>
    <t>Uždavinio kodas</t>
  </si>
  <si>
    <t>Priemonės kodas</t>
  </si>
  <si>
    <t>Priemonės požymis</t>
  </si>
  <si>
    <t>Asignavimų valdytojo kodas</t>
  </si>
  <si>
    <t>Finansavimo šaltinis</t>
  </si>
  <si>
    <t>Iš viso</t>
  </si>
  <si>
    <t>Išlaidoms</t>
  </si>
  <si>
    <t>planas</t>
  </si>
  <si>
    <t>01</t>
  </si>
  <si>
    <t>Iš viso:</t>
  </si>
  <si>
    <t>02</t>
  </si>
  <si>
    <t>Iš viso uždaviniui:</t>
  </si>
  <si>
    <t>Iš viso tikslui:</t>
  </si>
  <si>
    <t>Finansavimo šaltiniai</t>
  </si>
  <si>
    <t>Produkto kriterijaus</t>
  </si>
  <si>
    <t>Pavadinimas</t>
  </si>
  <si>
    <t>Iš jų darbo užmokesčiui</t>
  </si>
  <si>
    <t>Finansavimo šaltinių suvestinė</t>
  </si>
  <si>
    <t>SAVIVALDYBĖS  LĖŠOS, IŠ VISO:</t>
  </si>
  <si>
    <t>KITI ŠALTINIAI, IŠ VISO:</t>
  </si>
  <si>
    <t>IŠ VISO:</t>
  </si>
  <si>
    <t>Turtui įsigyti ir finansiniams įsipareigojimams vykdyti</t>
  </si>
  <si>
    <t xml:space="preserve"> TIKSLŲ, UŽDAVINIŲ, PRIEMONIŲ, PRIEMONIŲ IŠLAIDŲ IR PRODUKTO KRITERIJŲ SUVESTINĖ</t>
  </si>
  <si>
    <t>Veiklos plano tikslo kodas</t>
  </si>
  <si>
    <r>
      <t xml:space="preserve">Savivaldybės biudžeto lėšos </t>
    </r>
    <r>
      <rPr>
        <b/>
        <sz val="10"/>
        <rFont val="Times New Roman"/>
        <family val="1"/>
        <charset val="186"/>
      </rPr>
      <t>SB</t>
    </r>
  </si>
  <si>
    <r>
      <t xml:space="preserve">Specialiosios programos lėšos (pajamos už atsitiktines paslaugas) </t>
    </r>
    <r>
      <rPr>
        <b/>
        <sz val="10"/>
        <rFont val="Times New Roman"/>
        <family val="1"/>
        <charset val="186"/>
      </rPr>
      <t>SB(SP)</t>
    </r>
  </si>
  <si>
    <r>
      <t xml:space="preserve">Daugiabučių namų savininkų bendrijų fondo lėšos </t>
    </r>
    <r>
      <rPr>
        <b/>
        <sz val="10"/>
        <rFont val="Times New Roman"/>
        <family val="1"/>
        <charset val="186"/>
      </rPr>
      <t>SB(F)</t>
    </r>
  </si>
  <si>
    <r>
      <t xml:space="preserve">Paskolos lėšos </t>
    </r>
    <r>
      <rPr>
        <b/>
        <sz val="10"/>
        <rFont val="Times New Roman"/>
        <family val="1"/>
        <charset val="186"/>
      </rPr>
      <t>SB(P)</t>
    </r>
  </si>
  <si>
    <r>
      <t xml:space="preserve">Europos Sąjungos paramos lėšos </t>
    </r>
    <r>
      <rPr>
        <b/>
        <sz val="10"/>
        <rFont val="Times New Roman"/>
        <family val="1"/>
        <charset val="186"/>
      </rPr>
      <t>ES</t>
    </r>
  </si>
  <si>
    <r>
      <t xml:space="preserve">Kelių priežiūros ir plėtros programos lėšos </t>
    </r>
    <r>
      <rPr>
        <b/>
        <sz val="10"/>
        <rFont val="Times New Roman"/>
        <family val="1"/>
        <charset val="186"/>
      </rPr>
      <t>KPP</t>
    </r>
  </si>
  <si>
    <r>
      <t xml:space="preserve">Valstybės biudžeto lėšos </t>
    </r>
    <r>
      <rPr>
        <b/>
        <sz val="10"/>
        <rFont val="Times New Roman"/>
        <family val="1"/>
        <charset val="186"/>
      </rPr>
      <t>LRVB</t>
    </r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</si>
  <si>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</si>
  <si>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t>2015-ųjų metų lėšų projektas</t>
  </si>
  <si>
    <t>2014-ieji metai</t>
  </si>
  <si>
    <t>2015-ieji metai</t>
  </si>
  <si>
    <t>SB</t>
  </si>
  <si>
    <t>MIESTO INFRASTRUKTŪROS OBJEKTŲ PRIEŽIŪROS IR MODERNIZAVIMO PROGRAMOS (NR. 07)</t>
  </si>
  <si>
    <t>03</t>
  </si>
  <si>
    <t>Daugiabučių namų savininkų bendrijų (DNSB), modernizuojančių bendrojo naudojimo objektus, rėmimas</t>
  </si>
  <si>
    <t>6</t>
  </si>
  <si>
    <t>06</t>
  </si>
  <si>
    <t>10</t>
  </si>
  <si>
    <t>Vaikų žaidimo aikštelių daugiabučių namų kiemuose atnaujinimas ir remontas</t>
  </si>
  <si>
    <t>08</t>
  </si>
  <si>
    <t>Atnaujinta vaikų žaidimo aikštelių, vnt.</t>
  </si>
  <si>
    <t>Gėlynų atnaujinimas ir įrengimas</t>
  </si>
  <si>
    <t>Fontanų priežiūra, remontas ir atnaujinimas</t>
  </si>
  <si>
    <t>Miesto viešų teritorijų inventoriaus priežiūra, įrengimas ir įsigijimas</t>
  </si>
  <si>
    <t>Prižiūrima fontanų, vnt.</t>
  </si>
  <si>
    <t>Įrengta suoliukų, vnt.</t>
  </si>
  <si>
    <t>Įsigyta gėlinių, vnt.</t>
  </si>
  <si>
    <t>Įsigyta šiukšliadėžių, vnt.</t>
  </si>
  <si>
    <t>04</t>
  </si>
  <si>
    <t>05</t>
  </si>
  <si>
    <t>07</t>
  </si>
  <si>
    <t>Miesto viešųjų tualetų remontas, priežiūra ir nuoma</t>
  </si>
  <si>
    <t>Nugriauta statinių, vnt.</t>
  </si>
  <si>
    <t>Prižiūrima viešųjų tualetų, vnt.</t>
  </si>
  <si>
    <t>Viešojo tualeto paslaugų teikimas Melnragės paplūdimyje</t>
  </si>
  <si>
    <t>Etatų skaičius tualeto priežiūrai, vnt.</t>
  </si>
  <si>
    <t>SB(SP)</t>
  </si>
  <si>
    <t>Sezoninių darbuotojų skaičius, vnt.</t>
  </si>
  <si>
    <t>Nuolatinių darbuotojų skaičius, vnt.</t>
  </si>
  <si>
    <t>Apšvietimo tinklų ir įrangos eksploatacija, avarinių gedimų likvidavimas ir radiofikacijos linijų remontas</t>
  </si>
  <si>
    <t>Elektros energijos įsigijimas miesto viešosioms erdvėms ir gatvėms apšviesti, šviesoforams</t>
  </si>
  <si>
    <t>Pėsčiųjų perėjų papildomas apšvietimas ar modernizavimas</t>
  </si>
  <si>
    <t>Gatvių ir kiemų apšvietimo galios reguliatorių įdiegimas</t>
  </si>
  <si>
    <t>Įdiegta reguliatorių, vnt.</t>
  </si>
  <si>
    <t>Įrengta apšvietimo tinklų, km</t>
  </si>
  <si>
    <t>Siekti, kad miesto viešosios erdvės būtų tvarkingos, jaukios ir saugios</t>
  </si>
  <si>
    <t>Užtikrinti laidojimo paslaugų teikimą, miesto kapinių priežiūrą ir poreikius atitinkantį laidojimo vietų skaičių</t>
  </si>
  <si>
    <t>Užtikrinti švarą ir tvarką daugiabučių gyvenamųjų namų kvartaluose, skatinti gyventojus renovuoti ir prižiūrėti savo turtą</t>
  </si>
  <si>
    <t>Eksploatuoti, remontuoti ir plėtoti inžinerinio aprūpinimo sistemas</t>
  </si>
  <si>
    <t>Prižiūrima kapinių (tarp jų ir senųjų kapinaičių 16 vnt.), vnt.</t>
  </si>
  <si>
    <t>Senųjų kapinaičių sutvarkymas</t>
  </si>
  <si>
    <t>Išvežta mirusiųjų iš įvykio vietos, vnt.</t>
  </si>
  <si>
    <t>Mirusiųjų palaikų laikinas laikymas (saugojimas), vnt.</t>
  </si>
  <si>
    <t>Renovuota vamzdynų, km</t>
  </si>
  <si>
    <t>Suremontuota takų, m</t>
  </si>
  <si>
    <t>Kapaviečių ženklų įsigijimas ir įrengimas</t>
  </si>
  <si>
    <t>Įrengta kapaviečių ženklų, vnt.</t>
  </si>
  <si>
    <t>Savivaldybei priskirtų daugiabučių namų kiemų teritorijų sanitarinis valymas (šaligatvių, asfaltuotų, žvyruotų dangų, žaliųjų plotų valymas ir šienavimas)</t>
  </si>
  <si>
    <t>Lietaus nuotekų tinklų eksploatacija ir einamasis remontas</t>
  </si>
  <si>
    <t>Eksploatuojama lietaus nuotekų tinklų, km</t>
  </si>
  <si>
    <t>07 Miesto infrastruktūros objektų priežiūros ir modernizavimo programa</t>
  </si>
  <si>
    <t>Valoma jūros pakrantė, ha</t>
  </si>
  <si>
    <t>Valoma Danės upės pakrantė (poilsio zona), ha</t>
  </si>
  <si>
    <t>SB(P)</t>
  </si>
  <si>
    <t>Lėbartų kapinių V-B, VI, VIII-A, VII-B eilės ir kolumbariumo statybos techninio projekto parengimas ir įgyvendinimas</t>
  </si>
  <si>
    <t>5</t>
  </si>
  <si>
    <t>I</t>
  </si>
  <si>
    <t>ES</t>
  </si>
  <si>
    <t>LRVB</t>
  </si>
  <si>
    <t>Kt</t>
  </si>
  <si>
    <t>1</t>
  </si>
  <si>
    <t>Lėbartų kapinių vandentiekio sistemos remontas</t>
  </si>
  <si>
    <r>
      <t>Tvarkomų gėlynų plotas, tūkst. m</t>
    </r>
    <r>
      <rPr>
        <vertAlign val="superscript"/>
        <sz val="10"/>
        <rFont val="Times New Roman"/>
        <family val="1"/>
        <charset val="186"/>
      </rPr>
      <t>2</t>
    </r>
  </si>
  <si>
    <t>Prižūrima ekskrementų dėžių, vnt.</t>
  </si>
  <si>
    <t>Naminių gyvūnų (šunų, kačių) inden-tifikavimas, beglobių  gyvūnų gaudymas, karantinavimas ir utilizavimas</t>
  </si>
  <si>
    <t>Suvartota el. energijos, tūkst. MWh</t>
  </si>
  <si>
    <t>Aptarnaujama naminių gyvūnų ir jų savininkų duomenų bazė, vnt.</t>
  </si>
  <si>
    <t>Sutvarkyta perėjų, vnt.</t>
  </si>
  <si>
    <t>Eksploatuojama kamerų, sk.</t>
  </si>
  <si>
    <t>Mirusių (žuvusių) žmonių palaikų pervežimas iš įvykio vietų, neatpažintų, vienišų ir mirusių, kuriuos artimieji atsisako laidoti, žmonių palaikų laikinas laikymas (saugojimas), palaidojimas savivaldybės lėšomis</t>
  </si>
  <si>
    <t>Įrengta informacinių stendų, vnt.</t>
  </si>
  <si>
    <t>Patenkinta paraiškų, vnt.</t>
  </si>
  <si>
    <t>Joniškės kapinių takų remontas</t>
  </si>
  <si>
    <t>Kapinių priežiūra (valymas, apsauga, administravimas, elektros energijos pirkimas, vandens įrenginių priežiūra, kvartalinių žymeklių įrengimas, kapinių inventorizavimas)</t>
  </si>
  <si>
    <t xml:space="preserve">05 </t>
  </si>
  <si>
    <t>Racionaliai ir taupiai naudoti energetinius išteklius savivaldybės biudžetinėse įstaigose</t>
  </si>
  <si>
    <t>Įsigyta viešųjų konteinerinių tualetų, vnt.</t>
  </si>
  <si>
    <t>Miesto aikščių, skverų ir kitų bendro naudojimo teritorijų priežiūra:</t>
  </si>
  <si>
    <t>Įsigyta autobusų stotelių paviljonų, vnt.</t>
  </si>
  <si>
    <t>Švaros ir tvarkos užtikrinimas bendro naudojimo teritorijose:</t>
  </si>
  <si>
    <t>Miesto paplūdimių priežiūros organizavimas:</t>
  </si>
  <si>
    <t>Miesto viešųjų erdvių ir gatvių apšvietimo užtikrinimas:</t>
  </si>
  <si>
    <t>Apšviesta kiemų, sk.</t>
  </si>
  <si>
    <t>Biudžetinių įstaigų patalpų šildymas:</t>
  </si>
  <si>
    <t xml:space="preserve">Klaipėdos skęstančiųjų gelbėjimo tarnybos </t>
  </si>
  <si>
    <t xml:space="preserve">Kultūros įstaigų </t>
  </si>
  <si>
    <t xml:space="preserve">Sporto įstaigų </t>
  </si>
  <si>
    <t xml:space="preserve">Socialinių įstaigų </t>
  </si>
  <si>
    <t xml:space="preserve">Švietimo įstaigų </t>
  </si>
  <si>
    <t xml:space="preserve">Šîldoma įstaigų, sk. </t>
  </si>
  <si>
    <t>Paplūdimių elektrifikacijos ir radiofikacijos linijų eksploatacija ir remontas</t>
  </si>
  <si>
    <t>Pastatyta atramų, vnt.</t>
  </si>
  <si>
    <t>Sumontuota garsiakalbių, vnt.</t>
  </si>
  <si>
    <t xml:space="preserve">Iš viso  programai: </t>
  </si>
  <si>
    <t xml:space="preserve">Statinių, keliančių pavojų gyvybei ir sveikatai, griovimas </t>
  </si>
  <si>
    <t>SB(L)</t>
  </si>
  <si>
    <r>
      <t xml:space="preserve">Programų lėšų likučių laikinai laisvos lėšos </t>
    </r>
    <r>
      <rPr>
        <b/>
        <sz val="10"/>
        <rFont val="Times New Roman"/>
        <family val="1"/>
        <charset val="186"/>
      </rPr>
      <t>SB(L)</t>
    </r>
  </si>
  <si>
    <t>Švietimo įstaigų kiemų apšvietimo tinklų išplėtimas ar įrengimas</t>
  </si>
  <si>
    <t>Viešųjų erdvių, gatvių ir kiemų apšvietimo tinklų išplėtimas ar įrengimas</t>
  </si>
  <si>
    <t>Bendrojo naudojimo lietaus nuotekų tinklų tiesimas teritorijoje ties Bangų g. 5A, Klaipėdoje</t>
  </si>
  <si>
    <t>Strateginis tikslas 02. Kurti mieste patrauklią, švarią ir saugią gyvenamąją aplinką</t>
  </si>
  <si>
    <t>Teikti miesto gyventojams kokybiškas komunalines ir viešųjų erdvių priežiūros paslaugas</t>
  </si>
  <si>
    <t>Nutiesta lietaus nuotekų tinklų – 100 m, Užbaigtumas proc.</t>
  </si>
  <si>
    <r>
      <t>Parengtas 16,8 ha plotas laidojimui, 17405 laidojimo vietų, 9500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automobilių stovėjimo aikštelės plotas,  įrengtos 173 stovėjimo vietos automobilių stovėjimo aikštelėje. 
Užbaigtumas, proc.</t>
    </r>
  </si>
  <si>
    <t>Palaidota mirusiųjų, sk</t>
  </si>
  <si>
    <t>Įrengta kalėdinė eglė</t>
  </si>
  <si>
    <t>2014-ųjų metų asignavimų planas</t>
  </si>
  <si>
    <t>2016-ųjų metų lėšų projektas</t>
  </si>
  <si>
    <t>2016-ieji metai</t>
  </si>
  <si>
    <t>Pirties paslaugų teikimas Smiltynės paplūdimyje</t>
  </si>
  <si>
    <t>Nupirkta girliandų, vnt.</t>
  </si>
  <si>
    <t>Atsinaujinančių energijos šaltinių panaudojimo plėtros plano parengimas</t>
  </si>
  <si>
    <t>Įsigyta krypties nuorodų Danės krantinėse, vnt.</t>
  </si>
  <si>
    <r>
      <t>Valoma teritorija, km</t>
    </r>
    <r>
      <rPr>
        <vertAlign val="superscript"/>
        <sz val="10"/>
        <rFont val="Times New Roman"/>
        <family val="1"/>
        <charset val="186"/>
      </rPr>
      <t>2</t>
    </r>
  </si>
  <si>
    <t>Sugautų, karantinuotų ir utilizuota gyvūnų, t</t>
  </si>
  <si>
    <t>Plėtros plano parengimas, vnt.</t>
  </si>
  <si>
    <t>Įsigytas traktorius, sk.</t>
  </si>
  <si>
    <t>Įrengta vaikų žaidimo ir sveikatingumo aikštelė, sk.</t>
  </si>
  <si>
    <t>Traktoriaus įsigijimas</t>
  </si>
  <si>
    <r>
      <t xml:space="preserve">Viešųjų tualetų įrengimas ir atnaujinimas </t>
    </r>
    <r>
      <rPr>
        <sz val="10"/>
        <rFont val="Times New Roman"/>
        <family val="1"/>
        <charset val="186"/>
      </rPr>
      <t>(projektas „Mano socialinė atsakomybė (Žmonių su negalia socialinė integracija Latvijoje ir Lietuvoje, įgyvendinant universalaus planavimo (UP) principus ir kuriant naujas socialines paslaugas)“)</t>
    </r>
  </si>
  <si>
    <t>Parengta techn. projektų, sk.</t>
  </si>
  <si>
    <t>Pastato Garažų g. 6 remonto darbai</t>
  </si>
  <si>
    <t>Savivaldybės įstaigų eksploatuojamų pastatų energetinių auditų parengimas</t>
  </si>
  <si>
    <t>Parengtas energ. auditas, sk.</t>
  </si>
  <si>
    <t xml:space="preserve">Parengtas vieno gyvenamojo kvartalo techn. projektas </t>
  </si>
  <si>
    <t>Vaikų žaidimų aikštelių paplūdimiuose įrengimas</t>
  </si>
  <si>
    <t>09</t>
  </si>
  <si>
    <t>Atlikta darbų, proc.</t>
  </si>
  <si>
    <t>Parengta projektų, sk.</t>
  </si>
  <si>
    <t>Paplūdimių sanitarinis ir mechanizuotas valymas, inventoriaus priežiūra ir sutvarkymas (Melnragės ir Girulių paplūdimių valymo paslaugos įsigijimas)</t>
  </si>
  <si>
    <t xml:space="preserve">Gyvenamųjų namų kiemų kompleksinis tvarkymas tikslinėje teritorijoje (vieno gyvenamųjų namų kvartalo techninio projekto parengimas) </t>
  </si>
  <si>
    <t>Vandens tiekimo ir nuotekų tinklų tvarkymas:</t>
  </si>
  <si>
    <t>Integruotos stebėjimo sistemos viešose vietose nuoma ir retransliuojamo vaizdo stebėjimo paslaugos pirkimas (papildomai bus perkamos kameros Piliavietės teritorijoje ir Vasaros estradoje)</t>
  </si>
  <si>
    <t>Pastato Taikos pr. 76 šilumos trasų vamzdynų remontas</t>
  </si>
  <si>
    <t>P2.4.1.2</t>
  </si>
  <si>
    <t>P2.4.2.8</t>
  </si>
  <si>
    <t>P3.2.1.7</t>
  </si>
  <si>
    <t xml:space="preserve">Stadiono perspektyvų regione studijos parengimas </t>
  </si>
  <si>
    <t xml:space="preserve">Sporto akademijos, kaip pamainos rengimo bazės, galimybių studijos su investiciniu projektu parengimas </t>
  </si>
  <si>
    <t>Galimybių studijos, pritaikant II vandenvietę švietimo, sporto, saviraiškos reikmėms parengimas</t>
  </si>
  <si>
    <t>Tikslinės teritorijos gyvenamųjų teritorijų ir gretimų visuomeninių erdvių tvarkymo galimybių studija</t>
  </si>
  <si>
    <t xml:space="preserve">Parengta galimybių studija </t>
  </si>
  <si>
    <t>Parengtų galimybių studijų ir  techn. projektų sk.</t>
  </si>
  <si>
    <t>Galimybių studijų Klaipėdos mieste parengimas:</t>
  </si>
  <si>
    <t xml:space="preserve">Dokumentacijos parengimas tikslinės integruotos teritorijos projektams įgyvendinti: </t>
  </si>
  <si>
    <r>
      <t xml:space="preserve">Vietinių rinkliavų lėšos </t>
    </r>
    <r>
      <rPr>
        <b/>
        <sz val="10"/>
        <rFont val="Times New Roman"/>
        <family val="1"/>
        <charset val="186"/>
      </rPr>
      <t>SB(VR)</t>
    </r>
  </si>
  <si>
    <t>SB(VR)</t>
  </si>
  <si>
    <t>P1.6.3.7</t>
  </si>
  <si>
    <t>P1.4.3.8</t>
  </si>
  <si>
    <t>P2</t>
  </si>
  <si>
    <t>Suremontuota vamzdynų, proc.</t>
  </si>
  <si>
    <t xml:space="preserve">Parengtas techn. projektas, vnt </t>
  </si>
  <si>
    <t>Atlikta remonto darbų, proc.</t>
  </si>
  <si>
    <t xml:space="preserve">Danės upės krantinių nuo Biržos tilto iki Mokyklos gatvės tilto rekonstravimas </t>
  </si>
  <si>
    <r>
      <t xml:space="preserve">Funkcinės klasifikacijos kodas </t>
    </r>
    <r>
      <rPr>
        <b/>
        <sz val="9"/>
        <rFont val="Times New Roman"/>
        <family val="1"/>
        <charset val="186"/>
      </rPr>
      <t xml:space="preserve"> </t>
    </r>
  </si>
  <si>
    <t>K. Donelaičio ir Kuršių aikščių sutvarkymas</t>
  </si>
  <si>
    <t>Savivaldybei priskirtų teritorijų sanitarinis valymas, parkų, skverų, žaliųjų plotų želdinimas ir aplinkotvarka</t>
  </si>
  <si>
    <t>Viešosios erdvės prie buvusio „Vaidilos“ kino teatro konversija („Vaidilos“ aikštės techninio projekto parengimas)</t>
  </si>
  <si>
    <r>
      <t>Prižiūrima želdynų, km</t>
    </r>
    <r>
      <rPr>
        <vertAlign val="superscript"/>
        <sz val="10"/>
        <rFont val="Times New Roman"/>
        <family val="1"/>
        <charset val="186"/>
      </rPr>
      <t>2</t>
    </r>
  </si>
  <si>
    <t>Nuomojama kilnojamųjų tualetų švenčių metu, vnt.</t>
  </si>
  <si>
    <t>Etatų skaičius pirties priežiūrai, vnt.</t>
  </si>
  <si>
    <t>Eksploatuojama šviestuvų, tūkst. vnt.</t>
  </si>
  <si>
    <t>Suremontuota atramų, vnt.</t>
  </si>
  <si>
    <r>
      <t>Prižiūrimas daugiabučių kiemų plotas (3 rūšių sezoniniai darbai), km</t>
    </r>
    <r>
      <rPr>
        <vertAlign val="superscript"/>
        <sz val="10"/>
        <rFont val="Times New Roman"/>
        <family val="1"/>
        <charset val="186"/>
      </rPr>
      <t>2</t>
    </r>
  </si>
  <si>
    <r>
      <t>Sutvarkytos prieigos – 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,</t>
    </r>
    <r>
      <rPr>
        <vertAlign val="superscript"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proc.</t>
    </r>
  </si>
  <si>
    <r>
      <t>Suremontuota Danės upės krantinė nuo Biržos tilto iki įplaukos prie Jono kalnelio – 310 m, proc. 
Sutvarkytos prieigos – 500 m</t>
    </r>
    <r>
      <rPr>
        <vertAlign val="superscript"/>
        <sz val="9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
</t>
    </r>
  </si>
  <si>
    <t>Debreceno ir Pempininkų aikščių atnaujinimas (2014 m. – Debreceno, 2015 m. – Pempininkų)</t>
  </si>
  <si>
    <t xml:space="preserve"> 2014–2016 M. KLAIPĖDOS MIESTO SAVIVALDYBĖS</t>
  </si>
  <si>
    <t>3</t>
  </si>
  <si>
    <t>Atlikta Garažų g. 6 remonto darbų, %</t>
  </si>
  <si>
    <t>Skęstančiųjų gelbėjimo paslaugų teikimas (BĮ "Klaipėdos paplūdimiai" veiklos organizavimas – be šildymo)</t>
  </si>
  <si>
    <r>
      <rPr>
        <b/>
        <strike/>
        <sz val="10"/>
        <color rgb="FFFF0000"/>
        <rFont val="Times New Roman"/>
        <family val="1"/>
        <charset val="186"/>
      </rPr>
      <t>410,7</t>
    </r>
    <r>
      <rPr>
        <b/>
        <sz val="10"/>
        <color rgb="FFFF0000"/>
        <rFont val="Times New Roman"/>
        <family val="1"/>
        <charset val="186"/>
      </rPr>
      <t xml:space="preserve">  310,7 </t>
    </r>
  </si>
  <si>
    <r>
      <rPr>
        <b/>
        <strike/>
        <sz val="10"/>
        <color rgb="FFFF0000"/>
        <rFont val="Times New Roman"/>
        <family val="1"/>
        <charset val="186"/>
      </rPr>
      <t xml:space="preserve">366,0 </t>
    </r>
    <r>
      <rPr>
        <b/>
        <sz val="10"/>
        <color rgb="FFFF0000"/>
        <rFont val="Times New Roman"/>
        <family val="1"/>
        <charset val="186"/>
      </rPr>
      <t xml:space="preserve">      266,0</t>
    </r>
  </si>
  <si>
    <r>
      <rPr>
        <b/>
        <strike/>
        <sz val="10"/>
        <color rgb="FFFF0000"/>
        <rFont val="Times New Roman"/>
        <family val="1"/>
        <charset val="186"/>
      </rPr>
      <t>465,7</t>
    </r>
    <r>
      <rPr>
        <b/>
        <sz val="10"/>
        <color rgb="FFFF0000"/>
        <rFont val="Times New Roman"/>
        <family val="1"/>
        <charset val="186"/>
      </rPr>
      <t xml:space="preserve">   265,7</t>
    </r>
  </si>
  <si>
    <r>
      <rPr>
        <b/>
        <strike/>
        <sz val="10"/>
        <color rgb="FFFF0000"/>
        <rFont val="Times New Roman"/>
        <family val="1"/>
        <charset val="186"/>
      </rPr>
      <t xml:space="preserve">514,3 </t>
    </r>
    <r>
      <rPr>
        <b/>
        <sz val="10"/>
        <color rgb="FFFF0000"/>
        <rFont val="Times New Roman"/>
        <family val="1"/>
        <charset val="186"/>
      </rPr>
      <t xml:space="preserve">  314,3</t>
    </r>
  </si>
  <si>
    <t xml:space="preserve">Pastato Bangų g. 5A sklypo ir teritorijos link Jono kalnelio aplinkos sutvarkymas </t>
  </si>
  <si>
    <t>Sutvarkytos teritorijos plotas, ha</t>
  </si>
  <si>
    <t>P2.3.1.3.</t>
  </si>
  <si>
    <r>
      <rPr>
        <b/>
        <strike/>
        <sz val="10"/>
        <color rgb="FFFF0000"/>
        <rFont val="Times New Roman"/>
        <family val="1"/>
        <charset val="186"/>
      </rPr>
      <t>1129,7</t>
    </r>
    <r>
      <rPr>
        <b/>
        <sz val="10"/>
        <color rgb="FFFF0000"/>
        <rFont val="Times New Roman"/>
        <family val="1"/>
        <charset val="186"/>
      </rPr>
      <t xml:space="preserve">  1329,7</t>
    </r>
  </si>
  <si>
    <r>
      <rPr>
        <b/>
        <strike/>
        <sz val="10"/>
        <color rgb="FFFF0000"/>
        <rFont val="Times New Roman"/>
        <family val="1"/>
        <charset val="186"/>
      </rPr>
      <t>999,8</t>
    </r>
    <r>
      <rPr>
        <b/>
        <sz val="10"/>
        <color rgb="FFFF0000"/>
        <rFont val="Times New Roman"/>
        <family val="1"/>
        <charset val="186"/>
      </rPr>
      <t xml:space="preserve"> 1199,8</t>
    </r>
  </si>
  <si>
    <r>
      <rPr>
        <b/>
        <strike/>
        <sz val="10"/>
        <color rgb="FFFF0000"/>
        <rFont val="Times New Roman"/>
        <family val="1"/>
        <charset val="186"/>
      </rPr>
      <t>19279,1</t>
    </r>
    <r>
      <rPr>
        <b/>
        <sz val="10"/>
        <color rgb="FFFF0000"/>
        <rFont val="Times New Roman"/>
        <family val="1"/>
        <charset val="186"/>
      </rPr>
      <t xml:space="preserve">   19479,1</t>
    </r>
  </si>
  <si>
    <r>
      <rPr>
        <b/>
        <strike/>
        <sz val="10"/>
        <color rgb="FFFF0000"/>
        <rFont val="Times New Roman"/>
        <family val="1"/>
        <charset val="186"/>
      </rPr>
      <t xml:space="preserve">17904,4 </t>
    </r>
    <r>
      <rPr>
        <b/>
        <sz val="10"/>
        <color rgb="FFFF0000"/>
        <rFont val="Times New Roman"/>
        <family val="1"/>
        <charset val="186"/>
      </rPr>
      <t xml:space="preserve"> 18104,4</t>
    </r>
  </si>
  <si>
    <r>
      <rPr>
        <b/>
        <strike/>
        <sz val="10"/>
        <color rgb="FFFF0000"/>
        <rFont val="Times New Roman"/>
        <family val="1"/>
        <charset val="186"/>
      </rPr>
      <t>32915,9</t>
    </r>
    <r>
      <rPr>
        <b/>
        <sz val="10"/>
        <color rgb="FFFF0000"/>
        <rFont val="Times New Roman"/>
        <family val="1"/>
        <charset val="186"/>
      </rPr>
      <t xml:space="preserve">   33115,9</t>
    </r>
  </si>
  <si>
    <r>
      <rPr>
        <b/>
        <strike/>
        <sz val="10"/>
        <color rgb="FFFF0000"/>
        <rFont val="Times New Roman"/>
        <family val="1"/>
        <charset val="186"/>
      </rPr>
      <t xml:space="preserve">2049,9 </t>
    </r>
    <r>
      <rPr>
        <b/>
        <sz val="10"/>
        <color rgb="FFFF0000"/>
        <rFont val="Times New Roman"/>
        <family val="1"/>
        <charset val="186"/>
      </rPr>
      <t xml:space="preserve">  1849,9</t>
    </r>
  </si>
  <si>
    <r>
      <rPr>
        <b/>
        <strike/>
        <sz val="10"/>
        <color rgb="FFFF0000"/>
        <rFont val="Times New Roman"/>
        <family val="1"/>
        <charset val="186"/>
      </rPr>
      <t>39302,2</t>
    </r>
    <r>
      <rPr>
        <b/>
        <sz val="10"/>
        <color rgb="FFFF0000"/>
        <rFont val="Times New Roman"/>
        <family val="1"/>
        <charset val="186"/>
      </rPr>
      <t xml:space="preserve">   39202,2</t>
    </r>
  </si>
  <si>
    <t>Lyginamasis variantas</t>
  </si>
  <si>
    <t>Papriemonės kodas</t>
  </si>
  <si>
    <t>Vykdytojas (skyrius / asmuo)</t>
  </si>
  <si>
    <r>
      <t>Prižiūrima želdynų,  km</t>
    </r>
    <r>
      <rPr>
        <vertAlign val="superscript"/>
        <sz val="10"/>
        <rFont val="Times New Roman"/>
        <family val="1"/>
        <charset val="186"/>
      </rPr>
      <t>2</t>
    </r>
  </si>
  <si>
    <t>Viešosios tvarkos skyrius</t>
  </si>
  <si>
    <t>Pakeista laidų ar kabelių, m</t>
  </si>
  <si>
    <t>2015-ųjų metų asignavimų planas</t>
  </si>
  <si>
    <t>2017-ųjų metų lėšų projektas</t>
  </si>
  <si>
    <t>2017-ieji metai</t>
  </si>
  <si>
    <t>2016-ųjų m. lėšų poreikis</t>
  </si>
  <si>
    <t>2017-ųjų m. lėšų poreikis</t>
  </si>
  <si>
    <t xml:space="preserve">Debreceno aikštės atnaujinimas </t>
  </si>
  <si>
    <t>Pempininkų aikštės atnaujinimas</t>
  </si>
  <si>
    <t>Atliktas fontano remontas, proc.</t>
  </si>
  <si>
    <t xml:space="preserve">Suremontuota Danės upės krantinė nuo Biržos tilto iki įplaukos prie Jono kalnelio – 310 m, proc. 
</t>
  </si>
  <si>
    <t>Dušų įrengimas paplūdimiuose</t>
  </si>
  <si>
    <t>Atlikta Garažų g. 6 rekonstrukcijos darbų, proc.</t>
  </si>
  <si>
    <t>Atskiro nulinio laido įrengimas pagal LESTO reikalavimą gatvių apšvietimo tinklams</t>
  </si>
  <si>
    <t>Įrengtas atskiras nulinis laidas, vnt.</t>
  </si>
  <si>
    <t>Prižiūrima kapinių 2 vnt. ir senųjų kapinaičių 16 vnt.</t>
  </si>
  <si>
    <t>Nudažyta Kopgalio kapinių tvora, proc.</t>
  </si>
  <si>
    <t xml:space="preserve">Parengta galimybių studija, vnt. </t>
  </si>
  <si>
    <t>Laidojimo paslaugų teikimas ir kapinių priežiūros organizavimas:</t>
  </si>
  <si>
    <t>Atgimimo aikštės sutvarkymas, didinant patrauklumą investicijoms, skatinant lankytojų srautus</t>
  </si>
  <si>
    <t>P2.4.2.6</t>
  </si>
  <si>
    <t>P2.4.2.4</t>
  </si>
  <si>
    <t>P2.4.2.5</t>
  </si>
  <si>
    <t>Rekonstruotas paminklas, proc.</t>
  </si>
  <si>
    <t>Atnaujinta aikštė, proc.</t>
  </si>
  <si>
    <t>69/500</t>
  </si>
  <si>
    <t>70/500</t>
  </si>
  <si>
    <t>80</t>
  </si>
  <si>
    <t>Suremontuota šiukšliadėžių, vnt.</t>
  </si>
  <si>
    <t>Suremontuota suoliukų, vnt./m</t>
  </si>
  <si>
    <t>Projekto „Danės upės krantinės pritaikymas centrinėje Klaipėdos miesto dalyje“ įgyvendinimas</t>
  </si>
  <si>
    <t>Mėlynosios vėliavos programos koordinavimas ir įgyvendinimas</t>
  </si>
  <si>
    <t>Įgyvendinta programa, proc.</t>
  </si>
  <si>
    <t>Įsigyta suoliukų, vnt.</t>
  </si>
  <si>
    <t>55</t>
  </si>
  <si>
    <t>Įrengta automobilių laikymo aikštelė. Užbaigtumas proc.</t>
  </si>
  <si>
    <t xml:space="preserve">Integruotos stebėjimo sistemos viešose vietose nuoma ir retransliuojamo vaizdo stebėjimo paslaugos pirkimas </t>
  </si>
  <si>
    <t>Neefektyvių vaizdo stebėjimo kamerų perkėlimas į naujas vietas</t>
  </si>
  <si>
    <t>Perkeltos vaizdo stebėjimo kameros, vnt.</t>
  </si>
  <si>
    <t>Žardininkų gyvenamojo kvartalo viešosios erdvės (aikštės) šalia Taikos pr. atnaujinimas</t>
  </si>
  <si>
    <t>Parengtas tvarkybos projektas, vnt.</t>
  </si>
  <si>
    <t>Viešųjų tualetų paslaugų teikimas</t>
  </si>
  <si>
    <t>Stendų įrengimas paplūdimiuose</t>
  </si>
  <si>
    <t>Technikos įsigijimas paplūdimių tvarkymo funkcijoms atlikti</t>
  </si>
  <si>
    <t>Prižiūrima gertuvių Poilsio parke, vnt.</t>
  </si>
  <si>
    <t>Prižiūrima informacinės sistemos objektų, vnt.</t>
  </si>
  <si>
    <t>Atnaujintas Debreceno gyvenamojo rajono ženklas, proc.</t>
  </si>
  <si>
    <t>Atlikti I etapo (stotelės ir fontanų skvero atnaujinimo)  darbai, proc.</t>
  </si>
  <si>
    <t xml:space="preserve">Atlikti II etapo (centrinio tako ir teritorijos link tako į Gedminų g. atnaujinimo) darbai, proc. </t>
  </si>
  <si>
    <t xml:space="preserve">Atlikti III etapo (teritorijos šalia automobilių stovėjimo aikštelės iki Naujakiemio g. atnaujinimo) darbai, proc. </t>
  </si>
  <si>
    <r>
      <t>Valomos teritorijos plotas, km</t>
    </r>
    <r>
      <rPr>
        <vertAlign val="superscript"/>
        <sz val="10"/>
        <rFont val="Times New Roman"/>
        <family val="1"/>
        <charset val="186"/>
      </rPr>
      <t>2</t>
    </r>
  </si>
  <si>
    <t>Prižūrima gyvūnų ekskrementų dėžių, vnt.</t>
  </si>
  <si>
    <r>
      <t>Sutvarkytos prieigos – 500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,</t>
    </r>
    <r>
      <rPr>
        <vertAlign val="superscript"/>
        <sz val="10"/>
        <rFont val="Times New Roman"/>
        <family val="1"/>
        <charset val="186"/>
      </rPr>
      <t xml:space="preserve">  </t>
    </r>
    <r>
      <rPr>
        <sz val="10"/>
        <rFont val="Times New Roman"/>
        <family val="1"/>
        <charset val="186"/>
      </rPr>
      <t>proc.</t>
    </r>
  </si>
  <si>
    <t>Tikslinės teritorijos gyvenamųjų teritorijų ir gretimų visuomeninių erdvių tvarkymo galimybių studijos parengimas</t>
  </si>
  <si>
    <t xml:space="preserve">Gyvenamųjų namų kiemų kompleksinio tvarkymo tikslinėje teritorijoje  techninio projekto parengimas </t>
  </si>
  <si>
    <t xml:space="preserve">Viešosios erdvės prie buvusio „Vaidilos“ kino teatro konversijjos techninio projekto parengimas </t>
  </si>
  <si>
    <r>
      <t>Atnaujinta sienos, m</t>
    </r>
    <r>
      <rPr>
        <vertAlign val="superscript"/>
        <sz val="10"/>
        <rFont val="Times New Roman"/>
        <family val="1"/>
        <charset val="186"/>
      </rPr>
      <t>2</t>
    </r>
  </si>
  <si>
    <r>
      <t>Prižiūrimas daugiabučių kiemų plotas (atliekami 3 rūšių sezoniniai darbai), km</t>
    </r>
    <r>
      <rPr>
        <vertAlign val="superscript"/>
        <sz val="10"/>
        <rFont val="Times New Roman"/>
        <family val="1"/>
        <charset val="186"/>
      </rPr>
      <t>2</t>
    </r>
  </si>
  <si>
    <t>Karlskronos aikštės atnaujinimas</t>
  </si>
  <si>
    <t xml:space="preserve">Paminklo 1923 m. sukilėliams senosiose miesto kapinėse (Skulptūrų parke) restauravimas </t>
  </si>
  <si>
    <t xml:space="preserve">Paimtų ir sugautų gyvūnų, vnt. </t>
  </si>
  <si>
    <t>1015</t>
  </si>
  <si>
    <t>395/110</t>
  </si>
  <si>
    <t>1005</t>
  </si>
  <si>
    <t>1000</t>
  </si>
  <si>
    <t>1010</t>
  </si>
  <si>
    <t>Prižiūrėtų 3 paras sveikų gyvūnų, vnt.</t>
  </si>
  <si>
    <t>Prižiūrima autobusų stotelių paviljonų, vnt.</t>
  </si>
  <si>
    <t>P1.6.3.3</t>
  </si>
  <si>
    <t>2.3.2.5</t>
  </si>
  <si>
    <t xml:space="preserve">2.3.2.1 </t>
  </si>
  <si>
    <t>Klaipėdos miesto integruotos tikslinės teritorijos vystymo programos bei joje esančių kultūros objektų rinkodaros planų parengimas</t>
  </si>
  <si>
    <t>Parengta programa, vnt.</t>
  </si>
  <si>
    <t>Parengta rinkodaros planų, vnt.</t>
  </si>
  <si>
    <t>Eur</t>
  </si>
  <si>
    <t>Planas</t>
  </si>
  <si>
    <t>2015–2017 M. KLAIPĖDOS MIESTO SAVIVALDYBĖS</t>
  </si>
  <si>
    <t>BĮ „Klaipėdos paplūdimiai“ veiklos organizavimas:</t>
  </si>
  <si>
    <t>Pastato Garažų g. 6 remontas pritaikant BĮ „Klaipėdos paplūdimiai“ veiklai</t>
  </si>
  <si>
    <t xml:space="preserve"> Herkaus Manto gatvėje esančios mūrinės sienos remontas</t>
  </si>
  <si>
    <t>Joniškės kapinių takų ir tvoros remontas</t>
  </si>
  <si>
    <t xml:space="preserve">Šîldoma įstaigų, skaičius </t>
  </si>
  <si>
    <t xml:space="preserve">Šîldoma įstaigų, skaičius  </t>
  </si>
  <si>
    <t>Atlikti  fontano „Anikė“ hidroizoliacijos darbai, proc.</t>
  </si>
  <si>
    <t>Įrengta kalėdinė eglė ir miesto papuošimo elementai, vnt.</t>
  </si>
  <si>
    <t xml:space="preserve">Įrengta dušų (Smiltynės ir II Melnragės paplūdimiuose), skaičius </t>
  </si>
  <si>
    <t xml:space="preserve">Prižiūrima stacionarių tualetų, skaičius </t>
  </si>
  <si>
    <t xml:space="preserve">Prižiūrima konteinerinių tualetų, skaičius </t>
  </si>
  <si>
    <t xml:space="preserve">Įrengta vaikų žaidimų ir sveikatingumo aikštelių, skaičius </t>
  </si>
  <si>
    <t xml:space="preserve">Įsigytas traktorius (a. g. 114), skaičius </t>
  </si>
  <si>
    <t xml:space="preserve">Įsigyta keturračių, skaičius </t>
  </si>
  <si>
    <t xml:space="preserve">Įsigytas smėlio valymo įrenginys, skaičius  </t>
  </si>
  <si>
    <t xml:space="preserve">Įsigyta stendų, skaičius </t>
  </si>
  <si>
    <t xml:space="preserve">Eksploatuojama kamerų, skaičius </t>
  </si>
  <si>
    <t>Parengtų galimybių studijų, vnt.</t>
  </si>
  <si>
    <t xml:space="preserve">Parengta techninių projektų, skaičius </t>
  </si>
  <si>
    <t xml:space="preserve">Palaidota mirusiųjų, skaičius </t>
  </si>
  <si>
    <t>Suremontuota takų, m / tvora, vnt.</t>
  </si>
  <si>
    <t>Galimybių studijos, pritaikant II vandenvietę švietimo, sporto, saviraiškos reikmėms, parengimas</t>
  </si>
  <si>
    <t>Parengta projektų, skaičius</t>
  </si>
  <si>
    <t>Pakeista aikštės dangos, m²</t>
  </si>
  <si>
    <t>Parengta techn. projektų, skaičius</t>
  </si>
  <si>
    <t>Parengtos dokumentacijos skaičius</t>
  </si>
  <si>
    <t>Gyvūnų (šunų, kačių) indentifikavimas, beglobių  gyvūnų gaudymas, surinkimas, karantinavimas, eutanazija ir utilizavimas</t>
  </si>
  <si>
    <t xml:space="preserve">Atliktų gyvūnų eutanazijų / gaišenų surinkimo skaičius, vnt. </t>
  </si>
  <si>
    <t>2018-ųjų metų lėšų projektas</t>
  </si>
  <si>
    <t>2018-ieji metai</t>
  </si>
  <si>
    <t>PATVIRTINTA
Klaipėdos miesto savivaldybės 
administracijos direktoriaus 2014 m. rugpjūčio 4 d. įsakymu AD1-2328</t>
  </si>
  <si>
    <r>
      <t xml:space="preserve"> 2015-2018 M. KLAIPĖDOS MIESTO SAVIVALDYBĖS ADMINISTRACIJOS </t>
    </r>
    <r>
      <rPr>
        <sz val="12"/>
        <color rgb="FFFF0000"/>
        <rFont val="Times New Roman"/>
        <family val="1"/>
        <charset val="186"/>
      </rPr>
      <t>VIEŠOSIOS TVARKOS SKYRIUS</t>
    </r>
  </si>
  <si>
    <r>
      <t xml:space="preserve">Funkcinės klasifikacijos kodas </t>
    </r>
    <r>
      <rPr>
        <b/>
        <sz val="10"/>
        <rFont val="Times New Roman"/>
        <family val="1"/>
        <charset val="186"/>
      </rPr>
      <t xml:space="preserve"> *</t>
    </r>
  </si>
  <si>
    <t>Lėšų poreikis biudžetiniams 2016-iesiems metams</t>
  </si>
  <si>
    <t>2016-ųjų metų asignavimų planas</t>
  </si>
  <si>
    <t>* Funkcinės klasifikacijos kodas įrašomas vadovaujantis  Lietuvos Respublikos finansų ministro 2003 m. liepos 3 d. įsakymu Nr. 1K-184 „Dėl Lietuvos Respublikos valstybės ir savivaldybių biudžetų pajamų ir išlaidų klasifikacijos patvirtinimo“ (Aktuali redakcija 2010 m. kovo 26 d. įsakymo Nr. 1K-085 redakcija)</t>
  </si>
  <si>
    <t>** pagal Klaipėdos miesto savivaldybės tarybos 2014-07-31 sprendimą Nr. T2-145</t>
  </si>
  <si>
    <r>
      <t xml:space="preserve">Specialiosios programos apyvartinių lėšų likutis (pajamos už atsitiktines paslaugas) </t>
    </r>
    <r>
      <rPr>
        <b/>
        <sz val="10"/>
        <rFont val="Times New Roman"/>
        <family val="1"/>
        <charset val="186"/>
      </rPr>
      <t>SB(SPL)</t>
    </r>
  </si>
  <si>
    <r>
      <t xml:space="preserve">Savivaldybės biudžeto apyvartinių lėšų likučio lėšos </t>
    </r>
    <r>
      <rPr>
        <b/>
        <sz val="10"/>
        <rFont val="Times New Roman"/>
        <family val="1"/>
        <charset val="186"/>
      </rPr>
      <t>SB(L)</t>
    </r>
  </si>
  <si>
    <t>stebėjimas</t>
  </si>
  <si>
    <t xml:space="preserve">57 turi nuosavybė, 23 </t>
  </si>
  <si>
    <t xml:space="preserve">nauja sutartis + 15 naujų kamerų (nuoma) </t>
  </si>
  <si>
    <t>2 naujų kamerų priežiūra Minijos g. ir Baltijos prospekt. sankryžoje</t>
  </si>
  <si>
    <t>UAB "Fima" dabartinė sutartis + 57 turi nuosavybė</t>
  </si>
  <si>
    <t>TEO LT AB, 8 kamerų priežiūra</t>
  </si>
  <si>
    <t>UAB "Eurointegracijos projektai + stebėjimai</t>
  </si>
  <si>
    <t>Eil. Nr.</t>
  </si>
  <si>
    <t>Priemonė</t>
  </si>
  <si>
    <t>Rezultatas</t>
  </si>
  <si>
    <t>Įgyvendinimo laikotarpis</t>
  </si>
  <si>
    <t xml:space="preserve">Vykdytojas* </t>
  </si>
  <si>
    <t>Lėšų poreikis, Eur</t>
  </si>
  <si>
    <t xml:space="preserve">Pradžia </t>
  </si>
  <si>
    <t>Pabaiga</t>
  </si>
  <si>
    <t>1.1.1.</t>
  </si>
  <si>
    <t>MŪD MTS</t>
  </si>
  <si>
    <t>1.2.3.</t>
  </si>
  <si>
    <t>2.1.2.</t>
  </si>
  <si>
    <t>2.1.3.</t>
  </si>
  <si>
    <t>2.1.4.</t>
  </si>
  <si>
    <t>2.1.5.</t>
  </si>
  <si>
    <t>2.2.7.</t>
  </si>
  <si>
    <t xml:space="preserve">Finansa-vimo šaltinis </t>
  </si>
  <si>
    <t>2.1.1.</t>
  </si>
  <si>
    <t>2.1.6.</t>
  </si>
  <si>
    <t>2.1.7.</t>
  </si>
  <si>
    <t>2.2.1.</t>
  </si>
  <si>
    <t>2.3.1.</t>
  </si>
  <si>
    <t>2.4.1.</t>
  </si>
  <si>
    <t>5.1.1.</t>
  </si>
  <si>
    <t>5.1.2.</t>
  </si>
  <si>
    <t>5.1.3.</t>
  </si>
  <si>
    <t>6.1.1.</t>
  </si>
  <si>
    <t>6.1.2.</t>
  </si>
  <si>
    <t>6.1.3.</t>
  </si>
  <si>
    <t>6.2.1.</t>
  </si>
  <si>
    <t>6.3.1.</t>
  </si>
  <si>
    <t>6.4.1.</t>
  </si>
  <si>
    <t>8.1.1.</t>
  </si>
  <si>
    <t>8.1.2.</t>
  </si>
  <si>
    <t>8.1.3.</t>
  </si>
  <si>
    <t>8.1.4.</t>
  </si>
  <si>
    <t>8.2.1.</t>
  </si>
  <si>
    <t>8.3.1.</t>
  </si>
  <si>
    <t>8.3.2.</t>
  </si>
  <si>
    <t>10.1.1.</t>
  </si>
  <si>
    <t>10.1.2.</t>
  </si>
  <si>
    <t>10.1.3.</t>
  </si>
  <si>
    <t>10.1.4.</t>
  </si>
  <si>
    <t>10.2.1.</t>
  </si>
  <si>
    <t>10.3.1.</t>
  </si>
  <si>
    <t>10.4.1.</t>
  </si>
  <si>
    <t>1.2.1.</t>
  </si>
  <si>
    <t>Suprojektuotos automobilių stovėjimo aikštelės</t>
  </si>
  <si>
    <t>1.3.1.</t>
  </si>
  <si>
    <t>Įrengtos automobilių stovėjimo aikštelės</t>
  </si>
  <si>
    <t>Sutvarkyti želdiniai</t>
  </si>
  <si>
    <t>3.1.1.</t>
  </si>
  <si>
    <t>3.1.2.</t>
  </si>
  <si>
    <t>3.1.3.</t>
  </si>
  <si>
    <t>3.2.1.</t>
  </si>
  <si>
    <t>3.3.1.</t>
  </si>
  <si>
    <t xml:space="preserve">SB </t>
  </si>
  <si>
    <t>4.1.1.</t>
  </si>
  <si>
    <t>4.1.2.</t>
  </si>
  <si>
    <t>4.1.3.</t>
  </si>
  <si>
    <t>4.2.1.</t>
  </si>
  <si>
    <t>4.3.1.</t>
  </si>
  <si>
    <t>7.1.1.</t>
  </si>
  <si>
    <t>7.1.2.</t>
  </si>
  <si>
    <t>7.1.3.</t>
  </si>
  <si>
    <t>7.2.1.</t>
  </si>
  <si>
    <t>9.1.1.</t>
  </si>
  <si>
    <t>9.1.2.</t>
  </si>
  <si>
    <t>9.1.3.</t>
  </si>
  <si>
    <t>9.1.4.</t>
  </si>
  <si>
    <t>9.1.5.</t>
  </si>
  <si>
    <t>9.1.6.</t>
  </si>
  <si>
    <t>9.1.7.</t>
  </si>
  <si>
    <t>9.2.1.</t>
  </si>
  <si>
    <t>1.4.1.</t>
  </si>
  <si>
    <t>8.4.1.</t>
  </si>
  <si>
    <t>1.1.2.</t>
  </si>
  <si>
    <t>1.1.3.</t>
  </si>
  <si>
    <t>1.2.2.</t>
  </si>
  <si>
    <t>1.3.2.</t>
  </si>
  <si>
    <t>1.4.2.</t>
  </si>
  <si>
    <t>1.4.3.</t>
  </si>
  <si>
    <t>Parengtas automobilių stovėjimo aikštelių projektas</t>
  </si>
  <si>
    <t>2.2.2.</t>
  </si>
  <si>
    <t>2.2.3.</t>
  </si>
  <si>
    <t>2.3.2.</t>
  </si>
  <si>
    <t>2.4.2.</t>
  </si>
  <si>
    <t>2.4.3.</t>
  </si>
  <si>
    <t>3.4.1.</t>
  </si>
  <si>
    <t>3.4.2.</t>
  </si>
  <si>
    <t>3.4.3.</t>
  </si>
  <si>
    <t>3.2.2.</t>
  </si>
  <si>
    <t>3.2.3.</t>
  </si>
  <si>
    <t>3.3.2.</t>
  </si>
  <si>
    <t>4.2.2.</t>
  </si>
  <si>
    <t xml:space="preserve">4.2.3. </t>
  </si>
  <si>
    <t>4.3.2.</t>
  </si>
  <si>
    <t>Įrengtas apšvietimas</t>
  </si>
  <si>
    <t>6.2.2.</t>
  </si>
  <si>
    <t>6.3.2.</t>
  </si>
  <si>
    <t>7.2.2.</t>
  </si>
  <si>
    <t>7.2.3.</t>
  </si>
  <si>
    <t>7.3.1.</t>
  </si>
  <si>
    <t>7.3.2.</t>
  </si>
  <si>
    <t>8.2.2.</t>
  </si>
  <si>
    <t>8.2.3.</t>
  </si>
  <si>
    <t>8.4.2.</t>
  </si>
  <si>
    <t>8.4.3.</t>
  </si>
  <si>
    <t>9.2.2.</t>
  </si>
  <si>
    <t>9.2.3.</t>
  </si>
  <si>
    <t>9.3.1.</t>
  </si>
  <si>
    <t>9.3.2.</t>
  </si>
  <si>
    <t>9.4.1.</t>
  </si>
  <si>
    <t>9.4.2.</t>
  </si>
  <si>
    <t>9.4.3.</t>
  </si>
  <si>
    <t>10.2.2.</t>
  </si>
  <si>
    <t>10.2.3.</t>
  </si>
  <si>
    <t>10.3.2.</t>
  </si>
  <si>
    <t>10.4.2.</t>
  </si>
  <si>
    <t>10.4.3.</t>
  </si>
  <si>
    <t>4.4.1.</t>
  </si>
  <si>
    <t>4.4.2.</t>
  </si>
  <si>
    <t>4.4.3.</t>
  </si>
  <si>
    <t>5.4.1.</t>
  </si>
  <si>
    <t>5.4.2.</t>
  </si>
  <si>
    <t>6.4.2.</t>
  </si>
  <si>
    <t>6.4.3.</t>
  </si>
  <si>
    <t>7.4.1.</t>
  </si>
  <si>
    <t>7.4.2.</t>
  </si>
  <si>
    <t>7.4.3.</t>
  </si>
  <si>
    <t xml:space="preserve">Paaiškinimai: </t>
  </si>
  <si>
    <t>* Renovuotas arba renovuojamas namas</t>
  </si>
  <si>
    <t>Žardininkų g. 18</t>
  </si>
  <si>
    <t>Pilies g. 5</t>
  </si>
  <si>
    <t>Dzūkų g. 6</t>
  </si>
  <si>
    <t>Gedminų g. 20</t>
  </si>
  <si>
    <t>1.3.3.</t>
  </si>
  <si>
    <t>1.3.4.</t>
  </si>
  <si>
    <t xml:space="preserve">Iš viso: </t>
  </si>
  <si>
    <t>1.2.4.</t>
  </si>
  <si>
    <t>Iš viso valdai skirta:</t>
  </si>
  <si>
    <t>Brožynų g. 9 (22)</t>
  </si>
  <si>
    <t>Kuncų g. 14 (20)</t>
  </si>
  <si>
    <t>2.2.4.</t>
  </si>
  <si>
    <t>2.2.5.</t>
  </si>
  <si>
    <t>2.2.6.</t>
  </si>
  <si>
    <t>2.3.3.</t>
  </si>
  <si>
    <t>2.3.4.</t>
  </si>
  <si>
    <t>2.3.5.</t>
  </si>
  <si>
    <t>2.3.6.</t>
  </si>
  <si>
    <t>2.3.7.</t>
  </si>
  <si>
    <t>2.4.4.</t>
  </si>
  <si>
    <t>Liubeko g. 7 (20)</t>
  </si>
  <si>
    <t>Statybininkų pr. 19 (3)</t>
  </si>
  <si>
    <t>Žardininkų g. 18 (20)</t>
  </si>
  <si>
    <t>3.2.4.</t>
  </si>
  <si>
    <t>3.2.5.</t>
  </si>
  <si>
    <t>3.2.6.</t>
  </si>
  <si>
    <t>3.2.7.</t>
  </si>
  <si>
    <t>3.2.8.</t>
  </si>
  <si>
    <t>3.2.9.</t>
  </si>
  <si>
    <t>Reikjaviko g. 14 (12)</t>
  </si>
  <si>
    <t>3.3.3.</t>
  </si>
  <si>
    <t>3.3.4.</t>
  </si>
  <si>
    <t>3.3.5.</t>
  </si>
  <si>
    <t>3.3.6.</t>
  </si>
  <si>
    <t>3.3.7.</t>
  </si>
  <si>
    <t>3.3.8.</t>
  </si>
  <si>
    <t>3.3.9.</t>
  </si>
  <si>
    <t>3.4.4.</t>
  </si>
  <si>
    <t>3.4.5.</t>
  </si>
  <si>
    <t>3.4.6.</t>
  </si>
  <si>
    <t xml:space="preserve">Statybininkų pr. 19 </t>
  </si>
  <si>
    <t>4.2.4.</t>
  </si>
  <si>
    <t>4.2.5.</t>
  </si>
  <si>
    <t>4.3.3.</t>
  </si>
  <si>
    <t>4.4.4.</t>
  </si>
  <si>
    <t xml:space="preserve">Kauno g. 39 ir Kauno g. 39A (75 m) </t>
  </si>
  <si>
    <t xml:space="preserve">Taikos pr. 55-57 (13)
</t>
  </si>
  <si>
    <t xml:space="preserve">Rumpiškės g. 20B
</t>
  </si>
  <si>
    <t>Rumpiškės g. 18</t>
  </si>
  <si>
    <t>6.4.4.</t>
  </si>
  <si>
    <t>6.4.5.</t>
  </si>
  <si>
    <t>6.4.6.</t>
  </si>
  <si>
    <t>7.1.4.</t>
  </si>
  <si>
    <t>Šaulių g. 56 (8)</t>
  </si>
  <si>
    <t>S. Daukanto g. 26 (4)</t>
  </si>
  <si>
    <t>7.3.3.</t>
  </si>
  <si>
    <t>Šaulių g. 56</t>
  </si>
  <si>
    <t>Tiltų g. 19, 21</t>
  </si>
  <si>
    <t>S. Daukanto g. 26</t>
  </si>
  <si>
    <t>7.4.4.</t>
  </si>
  <si>
    <t>7.4.5.</t>
  </si>
  <si>
    <t>7.4.6.</t>
  </si>
  <si>
    <t>7.4.7.</t>
  </si>
  <si>
    <t>Sportininkų g. 12 (22)</t>
  </si>
  <si>
    <t xml:space="preserve"> I. Kanto g. 21 (5)</t>
  </si>
  <si>
    <t>J. Janonio g. 18 (8)</t>
  </si>
  <si>
    <t>8.2.4.</t>
  </si>
  <si>
    <t>8.3.3.</t>
  </si>
  <si>
    <t>8.3.4.</t>
  </si>
  <si>
    <t>8.4.4.</t>
  </si>
  <si>
    <t>Pilies g. 5 (13)</t>
  </si>
  <si>
    <t>Tilžės g. 33-37 (18)</t>
  </si>
  <si>
    <t>Dzūkų g. 6 (6)</t>
  </si>
  <si>
    <t>9.2.4.</t>
  </si>
  <si>
    <t>9.2.5.</t>
  </si>
  <si>
    <t>9.2.6.</t>
  </si>
  <si>
    <t>9.2.7.</t>
  </si>
  <si>
    <t>9.2.8.</t>
  </si>
  <si>
    <t>9.2.9.</t>
  </si>
  <si>
    <t>9.3.3.</t>
  </si>
  <si>
    <t>9.3.4.</t>
  </si>
  <si>
    <t>9.3.5.</t>
  </si>
  <si>
    <t>9.3.6.</t>
  </si>
  <si>
    <t>9.3.7.</t>
  </si>
  <si>
    <t>Mokyklos g. 23</t>
  </si>
  <si>
    <t>Senvagės g. 1</t>
  </si>
  <si>
    <t>9.4.4.</t>
  </si>
  <si>
    <t>9.4.5.</t>
  </si>
  <si>
    <t>9.4.6.</t>
  </si>
  <si>
    <t>9.4.7.</t>
  </si>
  <si>
    <t>9.4.8.</t>
  </si>
  <si>
    <t>9.4.9.</t>
  </si>
  <si>
    <t>9.4.10.</t>
  </si>
  <si>
    <t>9.4.11.</t>
  </si>
  <si>
    <t>Statybininkų pr. 6 (90 m)</t>
  </si>
  <si>
    <t xml:space="preserve">Debreceno g. 41 (300 m) </t>
  </si>
  <si>
    <t>10.1.5.</t>
  </si>
  <si>
    <t>10.1.6.</t>
  </si>
  <si>
    <t>10.2.4.</t>
  </si>
  <si>
    <t>Taikos pr. 99 (10)</t>
  </si>
  <si>
    <t>10.3.3.</t>
  </si>
  <si>
    <t>10.3.4.</t>
  </si>
  <si>
    <t>10.3.5.</t>
  </si>
  <si>
    <t>10.4.4.</t>
  </si>
  <si>
    <t>Kretingos g. 13 (13),15* (30)</t>
  </si>
  <si>
    <t>nuo Kretingos g. 27* iki Liepojos g. 2 (211)</t>
  </si>
  <si>
    <t xml:space="preserve">I. Simonaitytės g. 5 (15)
</t>
  </si>
  <si>
    <t>I. Simonaitytės g. 9 (20)</t>
  </si>
  <si>
    <t>I. Simonaitytės g. 12 (15)</t>
  </si>
  <si>
    <t xml:space="preserve">Pilies g. 1* </t>
  </si>
  <si>
    <t>Sausio 15-osios g. 14*</t>
  </si>
  <si>
    <t xml:space="preserve"> I. Kanto g. 19*, 21 (120 m) </t>
  </si>
  <si>
    <t>Sportininkų g. 12* (22)</t>
  </si>
  <si>
    <t>Bandužių g. 6</t>
  </si>
  <si>
    <t>2.3.8.</t>
  </si>
  <si>
    <t>Iš viso uždaviniams įgyvendinti (savivaldybės dalis):</t>
  </si>
  <si>
    <t>Iš viso uždaviniams įgyvendinti (bendruomenių dalis):</t>
  </si>
  <si>
    <t>Tikslas – gyvenamosios aplinkos kokybės gerinimas laikantis darnaus judumo ir universalaus dizaino principų</t>
  </si>
  <si>
    <t>1.4. Uždavinys. Želdinių tvarkymas</t>
  </si>
  <si>
    <t>2.4. Uždavinys. Želdinių tvarkymas</t>
  </si>
  <si>
    <t>3.4. Uždavinys. Želdinių tvarkymas</t>
  </si>
  <si>
    <t>4.4. Uždavinys. Želdinių tvarkymas</t>
  </si>
  <si>
    <t>5.4. Uždavinys. Želdinių tvarkymas</t>
  </si>
  <si>
    <t>6.4. Uždavinys. Želdinių tvarkymas</t>
  </si>
  <si>
    <t>7.4. Uždavinys. Želdinių tvarkymas</t>
  </si>
  <si>
    <t>8.4. Uždavinys. Želdinių tvarkymas</t>
  </si>
  <si>
    <t>9.4. Uždavinys. Želdinių tvarkymas</t>
  </si>
  <si>
    <t>10.4. Uždavinys. Želdinių tvarkymas</t>
  </si>
  <si>
    <t>IŠ VISO savivaldybės DALIS</t>
  </si>
  <si>
    <t>IŠ VISO bendruomenių DALIS</t>
  </si>
  <si>
    <t>Taikos pr. 83–89 (65), Debreceno g. 96 (12)</t>
  </si>
  <si>
    <t>Laukininkų g. 23 (10), 25 (15), 34 (10), 34, 36 (10), 36 (40), 40 (12), 33 (9), 35 (7), 37 (25)</t>
  </si>
  <si>
    <t>Budelkiemio g. 2 (6), 4 (18), 6 (9); Mogiliovo 3 (21) ir Markučių g. 2 (7)</t>
  </si>
  <si>
    <t>Laukininkų g. 33, 35, 37</t>
  </si>
  <si>
    <t>Statybininkų pr. 13, 15, 17 (44)</t>
  </si>
  <si>
    <t>Statybininkų pr. 13, 15, 17</t>
  </si>
  <si>
    <t xml:space="preserve">Pilies g. 3*, 5, Galinio Pylimo g. 18, 20, 20A, 22, 24, 26, 28 (370 m) </t>
  </si>
  <si>
    <t xml:space="preserve">Turgaus g. 7, 9, 11, 13, 15, 17 (100 m) </t>
  </si>
  <si>
    <t>Sausio 15-osios g. 15, Rumpiškės g. 14 (100 m)</t>
  </si>
  <si>
    <t>Kretingos g. 13 (13), 15* (30)</t>
  </si>
  <si>
    <t xml:space="preserve">Švyturio g. 8*, 10, Malūnininkų g. 2, J. Janonio g. 26, 28, Smilties Pylimo g. 3* (620 m) </t>
  </si>
  <si>
    <t>Žardininkų pr. 6–8 (įvažiavimas – 14 vnt.; pabaiga – 14 vnt.); Taikos pr. 127 (16 vnt.); Varpų g. 19, 21, 23, 25, 27 (30 vnt.); Taikos pr. 129 (16 vnt.)</t>
  </si>
  <si>
    <t>Smiltelės g. 6, 8, 10, 12 Vingio g. 11, 13, 15 (750 m)</t>
  </si>
  <si>
    <t>I. Simonaitytės g. 14–16 (15)</t>
  </si>
  <si>
    <t xml:space="preserve">Veterinarijos g. 9–21 </t>
  </si>
  <si>
    <t>Statybininkų pr. 22, 24, 28 (280 m)</t>
  </si>
  <si>
    <t>Debreceno g. 35 (17), 37 (35), 39 (20), 45 (12), 47 (14), 49 (16)</t>
  </si>
  <si>
    <t>SB – savivaldybės biudžetas</t>
  </si>
  <si>
    <t xml:space="preserve">MŪD MTS – Miesto ūkio departamento Miesto tvarkymo skyrius </t>
  </si>
  <si>
    <t>Smiltelės g. 5, 7, 9, 13 (840 m)</t>
  </si>
  <si>
    <t xml:space="preserve">Didžioji Vandens g. 12, 14, 14A Bažnyčių g. 11 (70 m) </t>
  </si>
  <si>
    <t xml:space="preserve">Tiltų g. 19 Grįžgatvio g. 3 (145 m) </t>
  </si>
  <si>
    <t xml:space="preserve">Debreceno g. 26 * (17) </t>
  </si>
  <si>
    <t xml:space="preserve">Debreceno g. 74* (7) </t>
  </si>
  <si>
    <t xml:space="preserve">Vyturio g. 19* (16); 21* (22); 25* (8) </t>
  </si>
  <si>
    <t xml:space="preserve">Budelkiemio g. 16* (18) </t>
  </si>
  <si>
    <t xml:space="preserve">Vyturio g. 11* (30); 13* (16); 15* (30) </t>
  </si>
  <si>
    <t xml:space="preserve">Vyturio g. 19*; 21*; 25* </t>
  </si>
  <si>
    <t xml:space="preserve">Budelkiemio g. 16* </t>
  </si>
  <si>
    <t xml:space="preserve">Vyturio g. 11*; 13*; 15* </t>
  </si>
  <si>
    <t xml:space="preserve">Statybininkų pr. 23* (15) </t>
  </si>
  <si>
    <t xml:space="preserve">Taikos pr. 133* (90) 
</t>
  </si>
  <si>
    <t xml:space="preserve">Reikjaviko g. 13* </t>
  </si>
  <si>
    <t xml:space="preserve">Taikos pr. 133* 
</t>
  </si>
  <si>
    <t xml:space="preserve">Statybininkų pr. 23* </t>
  </si>
  <si>
    <t xml:space="preserve">Šilutės pl. 84* (12) </t>
  </si>
  <si>
    <t xml:space="preserve">Šilutės pl. 84* </t>
  </si>
  <si>
    <t xml:space="preserve">Naikupės g. 9* 
</t>
  </si>
  <si>
    <t xml:space="preserve">Taikos pr. 21* (18) </t>
  </si>
  <si>
    <t xml:space="preserve">Ryšininkų g. 6* 
</t>
  </si>
  <si>
    <t xml:space="preserve">Liepų 46A* (8) </t>
  </si>
  <si>
    <t xml:space="preserve">J. Karoso g. 21* </t>
  </si>
  <si>
    <t xml:space="preserve">Šaulių g. 8* </t>
  </si>
  <si>
    <t xml:space="preserve">Pušyno g. 29A* (10) </t>
  </si>
  <si>
    <t xml:space="preserve">Smilties Pylimo g. 3* </t>
  </si>
  <si>
    <t xml:space="preserve">Panevėžio g. 7* (30) 
</t>
  </si>
  <si>
    <t xml:space="preserve">Panevėžio g. 9* (14) 
</t>
  </si>
  <si>
    <t xml:space="preserve">Statybininkų pr. 26* (15) </t>
  </si>
  <si>
    <t xml:space="preserve">Taikos pr. 95* (20) </t>
  </si>
  <si>
    <t xml:space="preserve">Gedminų g. 6* </t>
  </si>
  <si>
    <t xml:space="preserve">Statybininkų pr. 26* </t>
  </si>
  <si>
    <t xml:space="preserve">Taikos pr. 95* </t>
  </si>
  <si>
    <t>Baltijos pr. 93*–99, Taikos pr. 75, 77 (600 m)</t>
  </si>
  <si>
    <t>Debreceno g. 60–78 (230 m)</t>
  </si>
  <si>
    <t>Debreceno g. 32, 34, 40, 42 (470 m)</t>
  </si>
  <si>
    <t>Vaidaugų g. 5, 11, Vingio g. 39*, 41 (500 m)</t>
  </si>
  <si>
    <t>Lūžų g. 3, 5, 7, Mogiliovo g. 13, 15, Bandužių g. 6 (480 m)</t>
  </si>
  <si>
    <t>Vaidaugų g. 7, 9, 11, Vingo g. 43 (kiemas) (180 m)</t>
  </si>
  <si>
    <t>Jūrininkų pr. 10, Bandužių g. 13, 15, Mogiliovo g. 14 (500 m)</t>
  </si>
  <si>
    <t>Kuncų g. 7, 11, Brožynų g. 8 (220 m)</t>
  </si>
  <si>
    <t>Pietinė g. 3, 5, 7, 9, 11, 13, Taikos pr. 100, 102, 104 (485 m)</t>
  </si>
  <si>
    <t>Pietinė g. 15, 17 (175 m)</t>
  </si>
  <si>
    <t xml:space="preserve">Žardininkų g. 5, 7, 11, 17 (290 m) </t>
  </si>
  <si>
    <t>I. Simonaitytės g. 6, 10, 14, 16, 18, 20 (540 m)</t>
  </si>
  <si>
    <t xml:space="preserve">Smiltelės g. 2* 
</t>
  </si>
  <si>
    <t>Minijos g. 131, 129, 131A, Sulupės g. 11, 11A (540 m)</t>
  </si>
  <si>
    <t>Nidos g. 40*, 40A, 40B, 40C* (630 m)</t>
  </si>
  <si>
    <t xml:space="preserve">Žalgirio g. 1, 3, Sulupės g. 8, 10, 10A, 12*, Minijos 126, 128, 130, 130C, 130B, 130A, 132, 134, Naikupės g. 9A, 11 (1080 m) </t>
  </si>
  <si>
    <t>Taikos pr. 41*–59 (700 m)</t>
  </si>
  <si>
    <t>Sausio 15-osios g. 18, 20, 22, 24*, Ryšininkų g. 5 (400 m)</t>
  </si>
  <si>
    <t>Liepų g. 46A*, 44*, 44A*, 42, 40, 38, 36, 34* (250 m)</t>
  </si>
  <si>
    <t xml:space="preserve">Dariaus ir Girėno g. 3-11 ir praėjimo takas tarp J. Zembrickio g. 7 ir 9 (150 m)
</t>
  </si>
  <si>
    <t>Švyturio g. 12–18, Pušyno g. 33, 33A, 33, 33A, Malūnininkų g. 1* (470 m)</t>
  </si>
  <si>
    <t>Malūnininkų g. 5, Sportininkų g. 17–21, Pušyno 29, 29A (430 m)</t>
  </si>
  <si>
    <t xml:space="preserve">Kretingos g. 11*, 13, 15*, 17, 19, 21, Vilhelmo Berbomo g. 2 (1175 m)
</t>
  </si>
  <si>
    <t>Mokyklos g. 17, 19, 21, 23, Aguonų g. 4, 6, Vyšnių g. 10, 12, 14, 16, Dzūkų g. 6 (780 m)</t>
  </si>
  <si>
    <t>Mokyklos g.13, 15 (140 m)</t>
  </si>
  <si>
    <t>Rumpiškės g. 2*, 2A* (180 m)</t>
  </si>
  <si>
    <t>Debreceno g. 37–39 praėjimas (230 m)</t>
  </si>
  <si>
    <t xml:space="preserve">Taikos pr. 99 (100 m)
</t>
  </si>
  <si>
    <t xml:space="preserve">Šiaulių g. 2A, 4, 6, 8*, 8A, 10, 10A, Šilutės pl. 64 (450 m)
</t>
  </si>
  <si>
    <t xml:space="preserve">Debreceno g. 26*, (17) </t>
  </si>
  <si>
    <t xml:space="preserve">Baltijos pr. 21* (10); Baltijos pr. 65* (6) </t>
  </si>
  <si>
    <t>Debreceno g. 74*, (7)</t>
  </si>
  <si>
    <t>Baltijos pr. 21*, (10); Baltijos pr. 65*, (6)</t>
  </si>
  <si>
    <t>Jūrininkų pr. 8, Lūžų g. 1, Bandužių g. 7, 11 (240 m)</t>
  </si>
  <si>
    <t>Žardininkų g. 6–8 (įvažiavimas – 14 vnt.; pabaiga – 14 vnt.); Taikos pr. 127 (16 vnt.); Varpų g. 19, 21, 23, 25, 27 (30 vnt.); Taikos pr. 129 (16 vnt.)</t>
  </si>
  <si>
    <t>nuo Kooperacijos g. 7A namo kiemo palei vaikų darželio „Kregždutė“ tvorą iki Tilžės g. 21 (34)</t>
  </si>
  <si>
    <t>Panevėžio g. 5* (12), 11 (20)*</t>
  </si>
  <si>
    <t>Vingio g. 1, 3 (100 m)</t>
  </si>
  <si>
    <t xml:space="preserve">Panevėžio g. 5* (12), 11 (20)* </t>
  </si>
  <si>
    <t>1.4.4.</t>
  </si>
  <si>
    <t>1.4.5.</t>
  </si>
  <si>
    <t>1.4.6.</t>
  </si>
  <si>
    <t>2.4.5.</t>
  </si>
  <si>
    <t>2.4.6.</t>
  </si>
  <si>
    <t>3.4.7.</t>
  </si>
  <si>
    <t>3.4.8.</t>
  </si>
  <si>
    <t>3.4.9.</t>
  </si>
  <si>
    <t>4.4.5.</t>
  </si>
  <si>
    <t>Rumpiškės g. 25</t>
  </si>
  <si>
    <t>Taikos pr. 21*, 23*</t>
  </si>
  <si>
    <t>Taikos pr.  41, 43, 45, 47, 49, 51, 55, 57, 59</t>
  </si>
  <si>
    <t>6.4.8.</t>
  </si>
  <si>
    <t>6.4.9.</t>
  </si>
  <si>
    <t>6.4.10.</t>
  </si>
  <si>
    <t>6.4.11.</t>
  </si>
  <si>
    <t>6.4.12.</t>
  </si>
  <si>
    <t xml:space="preserve">Liepų 34, 36, 38, 40, 42, 44, 46, 46A* </t>
  </si>
  <si>
    <t>Danės g. 33, 35, 37, 39, 41, 43</t>
  </si>
  <si>
    <t xml:space="preserve">7.4.8. </t>
  </si>
  <si>
    <t>7.4.9.</t>
  </si>
  <si>
    <t>Danės g. 21, 23, 25, 27</t>
  </si>
  <si>
    <t xml:space="preserve">7.4.10. </t>
  </si>
  <si>
    <t>Liepų g. 22, 24, 26, 28, 30</t>
  </si>
  <si>
    <t>7.4.11.</t>
  </si>
  <si>
    <t>Laivų skg. 2, 4</t>
  </si>
  <si>
    <t>Pušyno g. 29*, 29A, 33, 33A</t>
  </si>
  <si>
    <t>Švyturio g. 12, 14, 16, 18</t>
  </si>
  <si>
    <t>Sportininkų g. 26, 28</t>
  </si>
  <si>
    <t>8.4.5.</t>
  </si>
  <si>
    <t>Malūnininkų g. 1</t>
  </si>
  <si>
    <t>Sportininkų g. 10, 12, 14, 16</t>
  </si>
  <si>
    <t>Malūnininkų g. 2, 4</t>
  </si>
  <si>
    <t>Švyturio g. 8, 10</t>
  </si>
  <si>
    <t>8.4.6.</t>
  </si>
  <si>
    <t>8.4.7.</t>
  </si>
  <si>
    <t>8.4.8.</t>
  </si>
  <si>
    <t>8.4.9.</t>
  </si>
  <si>
    <t>Panevėžio g. 5*, 7*, 9*</t>
  </si>
  <si>
    <t>Kretingos g. 1, 3, 5, 11, 13, 15*, 17, 19, 21</t>
  </si>
  <si>
    <t>Sausio 15-osios g. 11A, 13, 15</t>
  </si>
  <si>
    <t>Sausio 15-osios g. 7</t>
  </si>
  <si>
    <t>Taikos pr. 4, 6, 8, 10, 12</t>
  </si>
  <si>
    <t>Gedminų g. 6*, 8, 10</t>
  </si>
  <si>
    <t>10.4.5.</t>
  </si>
  <si>
    <t>Gedminų g. 2, 4</t>
  </si>
  <si>
    <t>10.4.6.</t>
  </si>
  <si>
    <t>10.4.7.</t>
  </si>
  <si>
    <t>10.3.6.</t>
  </si>
  <si>
    <t>Naujakiemio g. 20* (20)</t>
  </si>
  <si>
    <t xml:space="preserve">KVJUD - Klaipėdos valstybinio jūrų uosto direkcijos lėšos </t>
  </si>
  <si>
    <t>KVJUD</t>
  </si>
  <si>
    <t>IŠ JŲ SB lėšos:</t>
  </si>
  <si>
    <t>IŠ JŲ KVJUD lėšos:</t>
  </si>
  <si>
    <t xml:space="preserve">Debreceno g. 26* </t>
  </si>
  <si>
    <t>Debreceno g. 52–96;</t>
  </si>
  <si>
    <t>Taikos pr. 71, 73, 75, 77</t>
  </si>
  <si>
    <t>Baltijos pr. 59–97</t>
  </si>
  <si>
    <t>Taikos pr. 83–89</t>
  </si>
  <si>
    <t xml:space="preserve">Baltijos pr. 21*; Baltijos pr. 65* </t>
  </si>
  <si>
    <t>Laukininkų g. 2–26</t>
  </si>
  <si>
    <t>Laukininkų g. 30–52</t>
  </si>
  <si>
    <t>Alksnynės g. 4–8; Statybininkų pr. 33–35; Taikos pr. 82–84</t>
  </si>
  <si>
    <t>Pietinė g. 3–17; Taikos pr. 100–104</t>
  </si>
  <si>
    <t>Reikjaviko g. 2–14; Taikos pr. 121–137</t>
  </si>
  <si>
    <t>Šilutės pl. 82*–90</t>
  </si>
  <si>
    <t>I. Simonaitytės g. 4–22; Smiltelės g. 28–34</t>
  </si>
  <si>
    <t>Smiltelės g. 2–12, Vingio g. 1–15;</t>
  </si>
  <si>
    <t xml:space="preserve">Minijos g. 127–131; Sulupės g. 11–13; Nidos g. 40, 40A, 40B, 40C
</t>
  </si>
  <si>
    <t xml:space="preserve">Žalgirio g. 9, 11, 13, 15; Naikupės g. 6, 8*, 10*; Minijos g. 136–144; Kalnupės g. 7–15
</t>
  </si>
  <si>
    <t>Sausio 15-osios g. 18, 20, 22, 24</t>
  </si>
  <si>
    <t>Ryšininkų g. 3, 5</t>
  </si>
  <si>
    <t>Paryžiaus Komunos g. 6, 10</t>
  </si>
  <si>
    <t>Sportininkų g. 12–16</t>
  </si>
  <si>
    <t>Vilhelmo Berbomo g. 2</t>
  </si>
  <si>
    <t>Naujakiemio g. 2–24</t>
  </si>
  <si>
    <t>Debreceno g. 31–97</t>
  </si>
  <si>
    <t xml:space="preserve"> PRIEMONIŲ PLANAS KLAIPĖDOS MIESTO DAUGIABUČIŲ NAMŲ KIEMŲ INFRASTRUKTŪROS GERINIMO 2016–2018 METŲ PROGRAMAI ĮGYVENDINTI 
</t>
  </si>
  <si>
    <t>1. UAB „Pempininkų valda“ teritorijoje programos uždaviniai – 65 900 Eur (32950 1/2)</t>
  </si>
  <si>
    <t>1.1. Uždavinys. Apšvietimo įrengimas kiemuose su projektavimu</t>
  </si>
  <si>
    <t>2. UAB „Laukininkų valda“ teritorijoje programos uždaviniai – 146 450 Eur (73225 1/2)</t>
  </si>
  <si>
    <t xml:space="preserve">2.1. Uždavinys. Apšvietimo įrengimas kiemuose su projektavimu </t>
  </si>
  <si>
    <t>2.2. Uždavinys. Automobilių stovėjimo aikštelių projektų parengimas</t>
  </si>
  <si>
    <t xml:space="preserve">2.3. Uždavinys. Automobilių stovėjimo aikštelių įrengimas, praplėtimas </t>
  </si>
  <si>
    <t>3. UAB „Žardės būstas“ teritorijoje programos uždaviniai – 51 260 Eur (25630 1/2)</t>
  </si>
  <si>
    <t xml:space="preserve">3.1. Uždavinys. Apšvietimo įrengimas kiemuose su projektavimu </t>
  </si>
  <si>
    <t xml:space="preserve">3.2. Uždavinys. Automobilių stovėjimo aikštelių projektų parengimas </t>
  </si>
  <si>
    <t>4. UAB „Vingio būstas“ teritorijoje programos uždaviniai – 36 600 Eur (18300 1/2)</t>
  </si>
  <si>
    <t>5. UAB „Jūros būstas“ programos uždaviniai – 65 900 Eur (32950 1/2)</t>
  </si>
  <si>
    <t xml:space="preserve">5.1. Uždavinys. Apšvietimo įrengimas kiemuose su projektavimu </t>
  </si>
  <si>
    <t>6.1. Uždavinys. Apšvietimo įrengimas kiemuose su projektavimu</t>
  </si>
  <si>
    <t xml:space="preserve">6.2. Uždavinys. Automobilių stovėjimo aikštelių projektų parengimas </t>
  </si>
  <si>
    <t xml:space="preserve">6.3. Uždavinys. Automobilių stovėjimo aikštelių įrengimas, praplėtimas </t>
  </si>
  <si>
    <t>7. UAB „Danės būstas“ teritorijoje programos uždaviniai – 36 600Eur (18300 1/2)</t>
  </si>
  <si>
    <t>7.1. Uždavinys. Apšvietimo įrengimas kiemuose su projektavimu</t>
  </si>
  <si>
    <t xml:space="preserve">7.2. Uždavinys. Automobilių stovėjimo aikštelių projektų parengimas </t>
  </si>
  <si>
    <t>7.3. Uždavinys. Automobilių stovėjimo aikštelių įrengimas, praplėtimas</t>
  </si>
  <si>
    <t>8. UAB „Vitės valdos“ teritorijoje programos uždaviniai – 51 360 Eur (25680 1/2)</t>
  </si>
  <si>
    <t xml:space="preserve">8.1. Uždavinys. Apšvietimo įrengimas kiemuose su projektavimu </t>
  </si>
  <si>
    <t xml:space="preserve">8.2. Uždavinys. Automobilių stovėjimo aikštelių projektų parengimas </t>
  </si>
  <si>
    <t xml:space="preserve">8.3. Uždavinys. Automobilių stovėjimo aikštelių įrengimas, praplėtimas </t>
  </si>
  <si>
    <t>9. UAB „Paslaugos būstui“ teritorijoje programos uždaviniai – 146 450 Eur (73225 1/2)</t>
  </si>
  <si>
    <t xml:space="preserve">9.1. Uždavinys. Apšvietimo įrengimas kiemuose su projektavimu </t>
  </si>
  <si>
    <t>9.2. Uždavinys. Automobilių stovėjimo aikštelių projektų parengimas</t>
  </si>
  <si>
    <t xml:space="preserve">9.3. Uždavinys. Automobilių stovėjimo aikštelių įrengimas, praplėtimas </t>
  </si>
  <si>
    <t>10. UAB „Debreceno valdos“ teritorijoje programos uždaviniai 65900 Eur (32950 1/2)</t>
  </si>
  <si>
    <t xml:space="preserve">10.1. Uždavinys. Apšvietimo įrengimas kiemuose su projektavimu </t>
  </si>
  <si>
    <t xml:space="preserve">10.2. Uždavinys. Automobilių stovėjimo aikštelių projektų parengimas </t>
  </si>
  <si>
    <t xml:space="preserve">10.3. Uždavinys. Automobilių stovėjimo aikštelių įrengimas, praplėtimas </t>
  </si>
  <si>
    <t xml:space="preserve">1.2. Uždavinys. Automobilių stovėjimo aikštelių projektų parengimas </t>
  </si>
  <si>
    <t xml:space="preserve">1.3. Uždavinys. Automobilių stovėjimo aikštelių įrengimas, praplėtimas </t>
  </si>
  <si>
    <t>Kauno g. 3*, 9, 15*</t>
  </si>
  <si>
    <t>4.1. Uždavinys. Apšvietimo įrengimas kiemuose su projektavimu</t>
  </si>
  <si>
    <t>4.2. Uždavinys. Automobilių stovėjimo aikštelių projektų parengimas</t>
  </si>
  <si>
    <t>4.3. Uždavinys. Automobilių stovėjimo aikštelių įrengimas, praplėtimas</t>
  </si>
  <si>
    <t xml:space="preserve">6. UAB „Vėtrungės būstas“ programos uždaviniai – 58 680 Eur (29340 1/2) </t>
  </si>
  <si>
    <t>3.3. Uždavinys. Automobilių stovėjimo aikštelių įrengimas, praplėtimas</t>
  </si>
  <si>
    <t xml:space="preserve">PATVIRTINTA                                                    Klaipėdos miesto savivaldybės administracijos direktoriaus 2016 m.  gruodžio 20   d.                                        įsakymu Nr.  AD1-3921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</si>
</sst>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Lt&quot;_-;\-* #,##0.00\ &quot;Lt&quot;_-;_-* &quot;-&quot;??\ &quot;Lt&quot;_-;_-@_-"/>
    <numFmt numFmtId="165" formatCode="0.0"/>
    <numFmt numFmtId="166" formatCode="#,##0.0"/>
  </numFmts>
  <fonts count="50" x14ac:knownFonts="1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1"/>
      <name val="Tahoma"/>
      <family val="2"/>
      <charset val="186"/>
    </font>
    <font>
      <sz val="10"/>
      <name val="Times New Roman"/>
      <family val="1"/>
    </font>
    <font>
      <vertAlign val="superscript"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9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10"/>
      <color rgb="FFFF0000"/>
      <name val="Times New Roman"/>
      <family val="1"/>
      <charset val="186"/>
    </font>
    <font>
      <sz val="7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strike/>
      <sz val="10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  <font>
      <b/>
      <strike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10"/>
      <color theme="6" tint="-0.249977111117893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b/>
      <sz val="14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</font>
    <font>
      <sz val="12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3" fillId="2" borderId="1" applyBorder="0">
      <alignment horizontal="left" vertical="top" wrapText="1"/>
    </xf>
    <xf numFmtId="164" fontId="40" fillId="0" borderId="0" applyFont="0" applyFill="0" applyBorder="0" applyAlignment="0" applyProtection="0"/>
  </cellStyleXfs>
  <cellXfs count="1963">
    <xf numFmtId="0" fontId="0" fillId="0" borderId="0" xfId="0"/>
    <xf numFmtId="0" fontId="3" fillId="0" borderId="0" xfId="0" applyFont="1" applyAlignment="1">
      <alignment horizontal="left" vertical="top"/>
    </xf>
    <xf numFmtId="165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0" xfId="0" applyFont="1" applyAlignment="1">
      <alignment vertical="top"/>
    </xf>
    <xf numFmtId="49" fontId="5" fillId="3" borderId="5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65" fontId="3" fillId="0" borderId="6" xfId="0" applyNumberFormat="1" applyFont="1" applyFill="1" applyBorder="1" applyAlignment="1">
      <alignment horizontal="right" vertical="top"/>
    </xf>
    <xf numFmtId="165" fontId="5" fillId="3" borderId="22" xfId="0" applyNumberFormat="1" applyFont="1" applyFill="1" applyBorder="1" applyAlignment="1">
      <alignment horizontal="right" vertical="top"/>
    </xf>
    <xf numFmtId="0" fontId="3" fillId="0" borderId="2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0" fontId="7" fillId="0" borderId="0" xfId="0" applyFont="1"/>
    <xf numFmtId="3" fontId="3" fillId="0" borderId="17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 vertical="top"/>
    </xf>
    <xf numFmtId="3" fontId="3" fillId="0" borderId="30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right" vertical="top"/>
    </xf>
    <xf numFmtId="165" fontId="3" fillId="0" borderId="24" xfId="0" applyNumberFormat="1" applyFont="1" applyFill="1" applyBorder="1" applyAlignment="1">
      <alignment horizontal="right" vertical="top"/>
    </xf>
    <xf numFmtId="166" fontId="3" fillId="0" borderId="29" xfId="0" applyNumberFormat="1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165" fontId="3" fillId="0" borderId="7" xfId="0" applyNumberFormat="1" applyFont="1" applyFill="1" applyBorder="1" applyAlignment="1">
      <alignment horizontal="right" vertical="top" wrapText="1"/>
    </xf>
    <xf numFmtId="166" fontId="3" fillId="0" borderId="17" xfId="0" applyNumberFormat="1" applyFont="1" applyFill="1" applyBorder="1" applyAlignment="1">
      <alignment vertical="top" textRotation="90"/>
    </xf>
    <xf numFmtId="166" fontId="3" fillId="0" borderId="28" xfId="0" applyNumberFormat="1" applyFont="1" applyFill="1" applyBorder="1" applyAlignment="1">
      <alignment vertical="top"/>
    </xf>
    <xf numFmtId="166" fontId="3" fillId="0" borderId="29" xfId="0" applyNumberFormat="1" applyFont="1" applyFill="1" applyBorder="1" applyAlignment="1">
      <alignment vertical="top"/>
    </xf>
    <xf numFmtId="165" fontId="3" fillId="0" borderId="9" xfId="0" applyNumberFormat="1" applyFont="1" applyFill="1" applyBorder="1" applyAlignment="1">
      <alignment horizontal="right" vertical="top" wrapText="1"/>
    </xf>
    <xf numFmtId="165" fontId="3" fillId="2" borderId="7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3" fillId="0" borderId="40" xfId="0" applyFont="1" applyBorder="1" applyAlignment="1">
      <alignment vertical="top"/>
    </xf>
    <xf numFmtId="0" fontId="3" fillId="0" borderId="10" xfId="0" applyFont="1" applyFill="1" applyBorder="1" applyAlignment="1">
      <alignment vertical="center" textRotation="90" wrapText="1"/>
    </xf>
    <xf numFmtId="0" fontId="3" fillId="0" borderId="11" xfId="0" applyFont="1" applyFill="1" applyBorder="1" applyAlignment="1">
      <alignment vertical="center" textRotation="90" wrapText="1"/>
    </xf>
    <xf numFmtId="165" fontId="3" fillId="2" borderId="23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vertical="top"/>
    </xf>
    <xf numFmtId="0" fontId="3" fillId="0" borderId="42" xfId="0" applyNumberFormat="1" applyFont="1" applyFill="1" applyBorder="1" applyAlignment="1">
      <alignment horizontal="center" vertical="top"/>
    </xf>
    <xf numFmtId="0" fontId="3" fillId="0" borderId="21" xfId="0" applyNumberFormat="1" applyFont="1" applyFill="1" applyBorder="1" applyAlignment="1">
      <alignment horizontal="center" vertical="top"/>
    </xf>
    <xf numFmtId="165" fontId="3" fillId="2" borderId="44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166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horizontal="left" vertical="top"/>
    </xf>
    <xf numFmtId="3" fontId="3" fillId="0" borderId="34" xfId="0" applyNumberFormat="1" applyFont="1" applyFill="1" applyBorder="1" applyAlignment="1">
      <alignment horizontal="center" vertical="top"/>
    </xf>
    <xf numFmtId="0" fontId="3" fillId="0" borderId="45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1" fontId="2" fillId="0" borderId="17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165" fontId="3" fillId="0" borderId="24" xfId="0" applyNumberFormat="1" applyFont="1" applyFill="1" applyBorder="1" applyAlignment="1">
      <alignment horizontal="right" vertical="top" wrapText="1"/>
    </xf>
    <xf numFmtId="0" fontId="3" fillId="0" borderId="16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3" fontId="3" fillId="0" borderId="18" xfId="0" applyNumberFormat="1" applyFont="1" applyFill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right" vertical="top" wrapText="1"/>
    </xf>
    <xf numFmtId="49" fontId="5" fillId="2" borderId="17" xfId="0" applyNumberFormat="1" applyFont="1" applyFill="1" applyBorder="1" applyAlignment="1">
      <alignment horizontal="center" vertical="top"/>
    </xf>
    <xf numFmtId="165" fontId="3" fillId="0" borderId="0" xfId="0" applyNumberFormat="1" applyFont="1" applyBorder="1" applyAlignment="1">
      <alignment horizontal="left" vertical="top"/>
    </xf>
    <xf numFmtId="0" fontId="9" fillId="0" borderId="46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center" vertical="top" wrapText="1"/>
    </xf>
    <xf numFmtId="3" fontId="3" fillId="2" borderId="17" xfId="0" applyNumberFormat="1" applyFont="1" applyFill="1" applyBorder="1" applyAlignment="1">
      <alignment horizontal="center" vertical="top"/>
    </xf>
    <xf numFmtId="3" fontId="3" fillId="2" borderId="19" xfId="0" applyNumberFormat="1" applyFont="1" applyFill="1" applyBorder="1" applyAlignment="1">
      <alignment horizontal="center" vertical="top"/>
    </xf>
    <xf numFmtId="0" fontId="3" fillId="0" borderId="31" xfId="0" applyFont="1" applyBorder="1" applyAlignment="1">
      <alignment vertical="top" wrapText="1"/>
    </xf>
    <xf numFmtId="3" fontId="3" fillId="2" borderId="34" xfId="0" applyNumberFormat="1" applyFont="1" applyFill="1" applyBorder="1" applyAlignment="1">
      <alignment horizontal="center" vertical="top"/>
    </xf>
    <xf numFmtId="165" fontId="3" fillId="2" borderId="46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0" borderId="42" xfId="0" applyNumberFormat="1" applyFont="1" applyFill="1" applyBorder="1" applyAlignment="1">
      <alignment horizontal="right" vertical="top"/>
    </xf>
    <xf numFmtId="165" fontId="3" fillId="2" borderId="6" xfId="0" applyNumberFormat="1" applyFont="1" applyFill="1" applyBorder="1" applyAlignment="1">
      <alignment horizontal="right" vertical="top"/>
    </xf>
    <xf numFmtId="49" fontId="5" fillId="0" borderId="53" xfId="0" applyNumberFormat="1" applyFont="1" applyBorder="1" applyAlignment="1">
      <alignment horizontal="center" vertical="top"/>
    </xf>
    <xf numFmtId="3" fontId="3" fillId="0" borderId="19" xfId="0" applyNumberFormat="1" applyFont="1" applyFill="1" applyBorder="1" applyAlignment="1">
      <alignment vertical="top" wrapText="1"/>
    </xf>
    <xf numFmtId="3" fontId="3" fillId="0" borderId="26" xfId="0" applyNumberFormat="1" applyFont="1" applyFill="1" applyBorder="1" applyAlignment="1">
      <alignment vertical="top" wrapText="1"/>
    </xf>
    <xf numFmtId="3" fontId="3" fillId="0" borderId="27" xfId="0" applyNumberFormat="1" applyFont="1" applyFill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49" fontId="5" fillId="3" borderId="28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5" fillId="0" borderId="54" xfId="0" applyNumberFormat="1" applyFont="1" applyBorder="1" applyAlignment="1">
      <alignment horizontal="center" vertical="top"/>
    </xf>
    <xf numFmtId="49" fontId="5" fillId="0" borderId="36" xfId="0" applyNumberFormat="1" applyFont="1" applyBorder="1" applyAlignment="1">
      <alignment horizontal="center" vertical="top"/>
    </xf>
    <xf numFmtId="49" fontId="5" fillId="4" borderId="56" xfId="0" applyNumberFormat="1" applyFont="1" applyFill="1" applyBorder="1" applyAlignment="1">
      <alignment horizontal="center" vertical="top"/>
    </xf>
    <xf numFmtId="49" fontId="5" fillId="4" borderId="40" xfId="0" applyNumberFormat="1" applyFont="1" applyFill="1" applyBorder="1" applyAlignment="1">
      <alignment horizontal="center" vertical="top"/>
    </xf>
    <xf numFmtId="49" fontId="5" fillId="4" borderId="31" xfId="0" applyNumberFormat="1" applyFont="1" applyFill="1" applyBorder="1" applyAlignment="1">
      <alignment horizontal="center" vertical="top"/>
    </xf>
    <xf numFmtId="49" fontId="5" fillId="3" borderId="34" xfId="0" applyNumberFormat="1" applyFont="1" applyFill="1" applyBorder="1" applyAlignment="1">
      <alignment horizontal="center" vertical="top"/>
    </xf>
    <xf numFmtId="49" fontId="5" fillId="4" borderId="16" xfId="0" applyNumberFormat="1" applyFont="1" applyFill="1" applyBorder="1" applyAlignment="1">
      <alignment horizontal="center" vertical="top" wrapText="1"/>
    </xf>
    <xf numFmtId="49" fontId="5" fillId="4" borderId="35" xfId="0" applyNumberFormat="1" applyFont="1" applyFill="1" applyBorder="1" applyAlignment="1">
      <alignment horizontal="center" vertical="top"/>
    </xf>
    <xf numFmtId="49" fontId="5" fillId="4" borderId="63" xfId="0" applyNumberFormat="1" applyFont="1" applyFill="1" applyBorder="1" applyAlignment="1">
      <alignment horizontal="center" vertical="top"/>
    </xf>
    <xf numFmtId="49" fontId="5" fillId="4" borderId="8" xfId="0" applyNumberFormat="1" applyFont="1" applyFill="1" applyBorder="1" applyAlignment="1">
      <alignment horizontal="center" vertical="top" wrapText="1"/>
    </xf>
    <xf numFmtId="165" fontId="5" fillId="4" borderId="25" xfId="0" applyNumberFormat="1" applyFont="1" applyFill="1" applyBorder="1" applyAlignment="1">
      <alignment horizontal="right" vertical="top"/>
    </xf>
    <xf numFmtId="49" fontId="5" fillId="5" borderId="56" xfId="0" applyNumberFormat="1" applyFont="1" applyFill="1" applyBorder="1" applyAlignment="1">
      <alignment horizontal="center" vertical="top"/>
    </xf>
    <xf numFmtId="165" fontId="3" fillId="2" borderId="53" xfId="0" applyNumberFormat="1" applyFont="1" applyFill="1" applyBorder="1" applyAlignment="1">
      <alignment horizontal="right" vertical="top" wrapText="1"/>
    </xf>
    <xf numFmtId="165" fontId="3" fillId="0" borderId="52" xfId="0" applyNumberFormat="1" applyFont="1" applyFill="1" applyBorder="1" applyAlignment="1">
      <alignment horizontal="right" vertical="top"/>
    </xf>
    <xf numFmtId="165" fontId="3" fillId="0" borderId="55" xfId="0" applyNumberFormat="1" applyFont="1" applyFill="1" applyBorder="1" applyAlignment="1">
      <alignment horizontal="right" vertical="top" wrapText="1"/>
    </xf>
    <xf numFmtId="165" fontId="3" fillId="0" borderId="53" xfId="0" applyNumberFormat="1" applyFont="1" applyFill="1" applyBorder="1" applyAlignment="1">
      <alignment horizontal="right" vertical="top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65" fontId="3" fillId="2" borderId="65" xfId="0" applyNumberFormat="1" applyFont="1" applyFill="1" applyBorder="1" applyAlignment="1">
      <alignment horizontal="right" vertical="top" wrapText="1"/>
    </xf>
    <xf numFmtId="165" fontId="3" fillId="2" borderId="58" xfId="0" applyNumberFormat="1" applyFont="1" applyFill="1" applyBorder="1" applyAlignment="1">
      <alignment horizontal="right" vertical="center"/>
    </xf>
    <xf numFmtId="165" fontId="3" fillId="2" borderId="7" xfId="0" applyNumberFormat="1" applyFont="1" applyFill="1" applyBorder="1" applyAlignment="1">
      <alignment horizontal="right" vertical="center"/>
    </xf>
    <xf numFmtId="166" fontId="3" fillId="2" borderId="2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0" fontId="3" fillId="0" borderId="16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vertical="top" wrapText="1"/>
    </xf>
    <xf numFmtId="0" fontId="9" fillId="0" borderId="2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16" fillId="2" borderId="47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165" fontId="3" fillId="2" borderId="71" xfId="0" applyNumberFormat="1" applyFont="1" applyFill="1" applyBorder="1" applyAlignment="1">
      <alignment horizontal="right" vertical="top" wrapText="1"/>
    </xf>
    <xf numFmtId="165" fontId="3" fillId="2" borderId="43" xfId="0" applyNumberFormat="1" applyFont="1" applyFill="1" applyBorder="1" applyAlignment="1">
      <alignment horizontal="right" vertical="top" wrapText="1"/>
    </xf>
    <xf numFmtId="165" fontId="3" fillId="0" borderId="23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166" fontId="3" fillId="0" borderId="28" xfId="0" applyNumberFormat="1" applyFont="1" applyFill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 vertical="top"/>
    </xf>
    <xf numFmtId="0" fontId="3" fillId="0" borderId="17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70" xfId="0" applyFont="1" applyBorder="1" applyAlignment="1">
      <alignment vertical="top" wrapText="1"/>
    </xf>
    <xf numFmtId="0" fontId="3" fillId="0" borderId="34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3" fillId="2" borderId="18" xfId="0" applyFont="1" applyFill="1" applyBorder="1" applyAlignment="1">
      <alignment vertical="top" wrapText="1"/>
    </xf>
    <xf numFmtId="0" fontId="3" fillId="0" borderId="40" xfId="0" applyFont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7" fillId="0" borderId="26" xfId="0" applyNumberFormat="1" applyFont="1" applyBorder="1" applyAlignment="1">
      <alignment horizontal="center" vertical="top" wrapText="1"/>
    </xf>
    <xf numFmtId="0" fontId="17" fillId="0" borderId="30" xfId="0" applyNumberFormat="1" applyFont="1" applyFill="1" applyBorder="1" applyAlignment="1">
      <alignment horizontal="center" vertical="top"/>
    </xf>
    <xf numFmtId="0" fontId="17" fillId="0" borderId="27" xfId="0" applyNumberFormat="1" applyFont="1" applyFill="1" applyBorder="1" applyAlignment="1">
      <alignment horizontal="center" vertical="top"/>
    </xf>
    <xf numFmtId="0" fontId="3" fillId="0" borderId="40" xfId="1" applyFont="1" applyFill="1" applyBorder="1" applyAlignment="1">
      <alignment vertical="top" wrapText="1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 wrapText="1"/>
    </xf>
    <xf numFmtId="3" fontId="3" fillId="2" borderId="28" xfId="0" applyNumberFormat="1" applyFont="1" applyFill="1" applyBorder="1" applyAlignment="1">
      <alignment horizontal="center" vertical="top"/>
    </xf>
    <xf numFmtId="3" fontId="3" fillId="2" borderId="29" xfId="0" applyNumberFormat="1" applyFont="1" applyFill="1" applyBorder="1" applyAlignment="1">
      <alignment horizontal="center" vertical="top"/>
    </xf>
    <xf numFmtId="3" fontId="3" fillId="2" borderId="33" xfId="0" applyNumberFormat="1" applyFont="1" applyFill="1" applyBorder="1" applyAlignment="1">
      <alignment horizontal="center" vertical="top"/>
    </xf>
    <xf numFmtId="49" fontId="17" fillId="3" borderId="17" xfId="0" applyNumberFormat="1" applyFont="1" applyFill="1" applyBorder="1" applyAlignment="1">
      <alignment vertical="top"/>
    </xf>
    <xf numFmtId="49" fontId="5" fillId="2" borderId="17" xfId="0" applyNumberFormat="1" applyFont="1" applyFill="1" applyBorder="1" applyAlignment="1">
      <alignment vertical="top"/>
    </xf>
    <xf numFmtId="0" fontId="11" fillId="2" borderId="44" xfId="0" applyFont="1" applyFill="1" applyBorder="1" applyAlignment="1">
      <alignment horizontal="center" vertical="top" wrapText="1"/>
    </xf>
    <xf numFmtId="165" fontId="11" fillId="2" borderId="23" xfId="0" applyNumberFormat="1" applyFont="1" applyFill="1" applyBorder="1" applyAlignment="1">
      <alignment horizontal="center" vertical="top" wrapText="1"/>
    </xf>
    <xf numFmtId="165" fontId="11" fillId="2" borderId="44" xfId="0" applyNumberFormat="1" applyFont="1" applyFill="1" applyBorder="1" applyAlignment="1">
      <alignment horizontal="center" vertical="top" wrapText="1"/>
    </xf>
    <xf numFmtId="0" fontId="22" fillId="2" borderId="21" xfId="0" applyNumberFormat="1" applyFont="1" applyFill="1" applyBorder="1" applyAlignment="1">
      <alignment horizontal="center" vertical="top" wrapText="1"/>
    </xf>
    <xf numFmtId="0" fontId="22" fillId="2" borderId="52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center" wrapText="1"/>
    </xf>
    <xf numFmtId="0" fontId="5" fillId="0" borderId="19" xfId="0" applyNumberFormat="1" applyFont="1" applyBorder="1" applyAlignment="1">
      <alignment vertical="center"/>
    </xf>
    <xf numFmtId="0" fontId="11" fillId="2" borderId="52" xfId="0" applyFont="1" applyFill="1" applyBorder="1" applyAlignment="1">
      <alignment horizontal="center" vertical="top" wrapText="1"/>
    </xf>
    <xf numFmtId="0" fontId="22" fillId="2" borderId="17" xfId="0" applyNumberFormat="1" applyFont="1" applyFill="1" applyBorder="1" applyAlignment="1">
      <alignment horizontal="center" vertical="top" wrapText="1"/>
    </xf>
    <xf numFmtId="0" fontId="22" fillId="2" borderId="53" xfId="0" applyNumberFormat="1" applyFont="1" applyFill="1" applyBorder="1" applyAlignment="1">
      <alignment horizontal="center" vertical="top" wrapText="1"/>
    </xf>
    <xf numFmtId="0" fontId="22" fillId="0" borderId="17" xfId="0" applyFont="1" applyBorder="1" applyAlignment="1">
      <alignment vertical="top"/>
    </xf>
    <xf numFmtId="0" fontId="22" fillId="0" borderId="53" xfId="0" applyFont="1" applyBorder="1" applyAlignment="1">
      <alignment vertical="top"/>
    </xf>
    <xf numFmtId="49" fontId="17" fillId="3" borderId="28" xfId="0" applyNumberFormat="1" applyFont="1" applyFill="1" applyBorder="1" applyAlignment="1">
      <alignment vertical="top"/>
    </xf>
    <xf numFmtId="49" fontId="5" fillId="2" borderId="28" xfId="0" applyNumberFormat="1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5" fillId="0" borderId="29" xfId="0" applyNumberFormat="1" applyFont="1" applyBorder="1" applyAlignment="1">
      <alignment horizontal="center" vertical="center"/>
    </xf>
    <xf numFmtId="49" fontId="17" fillId="3" borderId="26" xfId="0" applyNumberFormat="1" applyFont="1" applyFill="1" applyBorder="1" applyAlignment="1">
      <alignment vertical="top"/>
    </xf>
    <xf numFmtId="49" fontId="5" fillId="2" borderId="26" xfId="0" applyNumberFormat="1" applyFont="1" applyFill="1" applyBorder="1" applyAlignment="1">
      <alignment vertical="top"/>
    </xf>
    <xf numFmtId="0" fontId="5" fillId="0" borderId="11" xfId="0" applyFont="1" applyFill="1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top"/>
    </xf>
    <xf numFmtId="165" fontId="3" fillId="0" borderId="44" xfId="0" applyNumberFormat="1" applyFont="1" applyFill="1" applyBorder="1" applyAlignment="1">
      <alignment horizontal="right" vertical="top"/>
    </xf>
    <xf numFmtId="165" fontId="3" fillId="0" borderId="53" xfId="0" applyNumberFormat="1" applyFont="1" applyFill="1" applyBorder="1" applyAlignment="1">
      <alignment horizontal="right" vertical="top"/>
    </xf>
    <xf numFmtId="165" fontId="5" fillId="3" borderId="56" xfId="0" applyNumberFormat="1" applyFont="1" applyFill="1" applyBorder="1" applyAlignment="1">
      <alignment horizontal="right" vertical="top"/>
    </xf>
    <xf numFmtId="165" fontId="5" fillId="3" borderId="69" xfId="0" applyNumberFormat="1" applyFont="1" applyFill="1" applyBorder="1" applyAlignment="1">
      <alignment horizontal="right" vertical="top"/>
    </xf>
    <xf numFmtId="0" fontId="3" fillId="0" borderId="17" xfId="0" applyNumberFormat="1" applyFont="1" applyBorder="1" applyAlignment="1">
      <alignment horizontal="center" vertical="top"/>
    </xf>
    <xf numFmtId="0" fontId="3" fillId="0" borderId="40" xfId="0" applyFont="1" applyBorder="1" applyAlignment="1">
      <alignment vertical="top" wrapText="1"/>
    </xf>
    <xf numFmtId="0" fontId="3" fillId="0" borderId="76" xfId="0" applyFont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top"/>
    </xf>
    <xf numFmtId="3" fontId="5" fillId="0" borderId="34" xfId="0" applyNumberFormat="1" applyFont="1" applyFill="1" applyBorder="1" applyAlignment="1">
      <alignment horizontal="center" vertical="top" wrapText="1"/>
    </xf>
    <xf numFmtId="3" fontId="5" fillId="0" borderId="28" xfId="0" applyNumberFormat="1" applyFont="1" applyFill="1" applyBorder="1" applyAlignment="1">
      <alignment horizontal="center" vertical="top" wrapText="1"/>
    </xf>
    <xf numFmtId="0" fontId="0" fillId="0" borderId="31" xfId="0" applyBorder="1" applyAlignment="1"/>
    <xf numFmtId="49" fontId="3" fillId="0" borderId="28" xfId="0" applyNumberFormat="1" applyFont="1" applyFill="1" applyBorder="1" applyAlignment="1">
      <alignment horizontal="center" vertical="top"/>
    </xf>
    <xf numFmtId="49" fontId="3" fillId="0" borderId="17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49" fontId="5" fillId="0" borderId="29" xfId="0" applyNumberFormat="1" applyFont="1" applyFill="1" applyBorder="1" applyAlignment="1">
      <alignment horizontal="center" vertical="top"/>
    </xf>
    <xf numFmtId="49" fontId="5" fillId="0" borderId="19" xfId="0" applyNumberFormat="1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70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3" fillId="0" borderId="34" xfId="0" applyNumberFormat="1" applyFont="1" applyFill="1" applyBorder="1" applyAlignment="1">
      <alignment horizontal="center" vertical="top"/>
    </xf>
    <xf numFmtId="49" fontId="5" fillId="0" borderId="33" xfId="0" applyNumberFormat="1" applyFont="1" applyFill="1" applyBorder="1" applyAlignment="1">
      <alignment horizontal="center" vertical="top"/>
    </xf>
    <xf numFmtId="3" fontId="3" fillId="0" borderId="34" xfId="1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textRotation="90"/>
    </xf>
    <xf numFmtId="165" fontId="3" fillId="0" borderId="65" xfId="0" applyNumberFormat="1" applyFont="1" applyFill="1" applyBorder="1" applyAlignment="1">
      <alignment vertical="top"/>
    </xf>
    <xf numFmtId="165" fontId="3" fillId="0" borderId="44" xfId="0" applyNumberFormat="1" applyFont="1" applyFill="1" applyBorder="1" applyAlignment="1">
      <alignment vertical="top"/>
    </xf>
    <xf numFmtId="165" fontId="3" fillId="0" borderId="53" xfId="0" applyNumberFormat="1" applyFont="1" applyFill="1" applyBorder="1" applyAlignment="1">
      <alignment vertical="top"/>
    </xf>
    <xf numFmtId="0" fontId="22" fillId="2" borderId="28" xfId="0" applyNumberFormat="1" applyFont="1" applyFill="1" applyBorder="1" applyAlignment="1">
      <alignment horizontal="center" vertical="top" wrapText="1"/>
    </xf>
    <xf numFmtId="0" fontId="22" fillId="0" borderId="26" xfId="0" applyFont="1" applyBorder="1" applyAlignment="1">
      <alignment vertical="top"/>
    </xf>
    <xf numFmtId="0" fontId="3" fillId="0" borderId="21" xfId="0" applyFont="1" applyBorder="1" applyAlignment="1">
      <alignment horizontal="left" vertical="center" wrapText="1"/>
    </xf>
    <xf numFmtId="3" fontId="21" fillId="0" borderId="17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165" fontId="3" fillId="10" borderId="20" xfId="0" applyNumberFormat="1" applyFont="1" applyFill="1" applyBorder="1" applyAlignment="1">
      <alignment horizontal="right" vertical="top"/>
    </xf>
    <xf numFmtId="165" fontId="3" fillId="10" borderId="34" xfId="0" applyNumberFormat="1" applyFont="1" applyFill="1" applyBorder="1" applyAlignment="1">
      <alignment horizontal="right" vertical="top"/>
    </xf>
    <xf numFmtId="165" fontId="3" fillId="10" borderId="32" xfId="0" applyNumberFormat="1" applyFont="1" applyFill="1" applyBorder="1" applyAlignment="1">
      <alignment horizontal="right" vertical="top"/>
    </xf>
    <xf numFmtId="165" fontId="3" fillId="10" borderId="51" xfId="0" applyNumberFormat="1" applyFont="1" applyFill="1" applyBorder="1" applyAlignment="1">
      <alignment horizontal="right" vertical="top"/>
    </xf>
    <xf numFmtId="165" fontId="3" fillId="10" borderId="17" xfId="0" applyNumberFormat="1" applyFont="1" applyFill="1" applyBorder="1" applyAlignment="1">
      <alignment horizontal="right" vertical="top"/>
    </xf>
    <xf numFmtId="165" fontId="3" fillId="10" borderId="50" xfId="0" applyNumberFormat="1" applyFont="1" applyFill="1" applyBorder="1" applyAlignment="1">
      <alignment horizontal="right" vertical="top"/>
    </xf>
    <xf numFmtId="165" fontId="3" fillId="10" borderId="38" xfId="0" applyNumberFormat="1" applyFont="1" applyFill="1" applyBorder="1" applyAlignment="1">
      <alignment horizontal="right" vertical="top"/>
    </xf>
    <xf numFmtId="165" fontId="3" fillId="10" borderId="2" xfId="0" applyNumberFormat="1" applyFont="1" applyFill="1" applyBorder="1" applyAlignment="1">
      <alignment horizontal="right" vertical="top"/>
    </xf>
    <xf numFmtId="165" fontId="3" fillId="10" borderId="37" xfId="0" applyNumberFormat="1" applyFont="1" applyFill="1" applyBorder="1" applyAlignment="1">
      <alignment horizontal="right" vertical="top"/>
    </xf>
    <xf numFmtId="165" fontId="3" fillId="10" borderId="21" xfId="0" applyNumberFormat="1" applyFont="1" applyFill="1" applyBorder="1" applyAlignment="1">
      <alignment horizontal="right" vertical="top"/>
    </xf>
    <xf numFmtId="165" fontId="3" fillId="10" borderId="48" xfId="0" applyNumberFormat="1" applyFont="1" applyFill="1" applyBorder="1" applyAlignment="1">
      <alignment horizontal="right" vertical="top"/>
    </xf>
    <xf numFmtId="165" fontId="5" fillId="10" borderId="51" xfId="0" applyNumberFormat="1" applyFont="1" applyFill="1" applyBorder="1" applyAlignment="1">
      <alignment horizontal="right" vertical="top"/>
    </xf>
    <xf numFmtId="165" fontId="5" fillId="10" borderId="21" xfId="0" applyNumberFormat="1" applyFont="1" applyFill="1" applyBorder="1" applyAlignment="1">
      <alignment horizontal="right" vertical="top"/>
    </xf>
    <xf numFmtId="165" fontId="3" fillId="10" borderId="58" xfId="0" applyNumberFormat="1" applyFont="1" applyFill="1" applyBorder="1" applyAlignment="1">
      <alignment horizontal="right" vertical="top"/>
    </xf>
    <xf numFmtId="165" fontId="3" fillId="10" borderId="13" xfId="0" applyNumberFormat="1" applyFont="1" applyFill="1" applyBorder="1" applyAlignment="1">
      <alignment horizontal="right" vertical="top"/>
    </xf>
    <xf numFmtId="165" fontId="3" fillId="10" borderId="14" xfId="0" applyNumberFormat="1" applyFont="1" applyFill="1" applyBorder="1" applyAlignment="1">
      <alignment horizontal="right" vertical="top"/>
    </xf>
    <xf numFmtId="165" fontId="3" fillId="10" borderId="31" xfId="0" applyNumberFormat="1" applyFont="1" applyFill="1" applyBorder="1" applyAlignment="1">
      <alignment horizontal="right" vertical="top"/>
    </xf>
    <xf numFmtId="165" fontId="3" fillId="10" borderId="33" xfId="0" applyNumberFormat="1" applyFont="1" applyFill="1" applyBorder="1" applyAlignment="1">
      <alignment horizontal="right" vertical="top"/>
    </xf>
    <xf numFmtId="165" fontId="3" fillId="10" borderId="16" xfId="0" applyNumberFormat="1" applyFont="1" applyFill="1" applyBorder="1" applyAlignment="1">
      <alignment horizontal="right" vertical="top"/>
    </xf>
    <xf numFmtId="165" fontId="3" fillId="10" borderId="18" xfId="0" applyNumberFormat="1" applyFont="1" applyFill="1" applyBorder="1" applyAlignment="1">
      <alignment horizontal="right" vertical="top"/>
    </xf>
    <xf numFmtId="165" fontId="19" fillId="10" borderId="16" xfId="0" applyNumberFormat="1" applyFont="1" applyFill="1" applyBorder="1" applyAlignment="1">
      <alignment horizontal="right" vertical="top"/>
    </xf>
    <xf numFmtId="165" fontId="5" fillId="10" borderId="60" xfId="0" applyNumberFormat="1" applyFont="1" applyFill="1" applyBorder="1" applyAlignment="1">
      <alignment horizontal="right" vertical="top"/>
    </xf>
    <xf numFmtId="165" fontId="5" fillId="10" borderId="3" xfId="0" applyNumberFormat="1" applyFont="1" applyFill="1" applyBorder="1" applyAlignment="1">
      <alignment horizontal="right" vertical="top"/>
    </xf>
    <xf numFmtId="165" fontId="5" fillId="10" borderId="4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horizontal="right" vertical="top"/>
    </xf>
    <xf numFmtId="165" fontId="3" fillId="10" borderId="15" xfId="0" applyNumberFormat="1" applyFont="1" applyFill="1" applyBorder="1" applyAlignment="1">
      <alignment horizontal="right" vertical="top"/>
    </xf>
    <xf numFmtId="165" fontId="5" fillId="10" borderId="74" xfId="0" applyNumberFormat="1" applyFont="1" applyFill="1" applyBorder="1" applyAlignment="1">
      <alignment horizontal="right" vertical="top"/>
    </xf>
    <xf numFmtId="165" fontId="5" fillId="10" borderId="59" xfId="0" applyNumberFormat="1" applyFont="1" applyFill="1" applyBorder="1" applyAlignment="1">
      <alignment horizontal="right" vertical="top"/>
    </xf>
    <xf numFmtId="165" fontId="3" fillId="10" borderId="19" xfId="0" applyNumberFormat="1" applyFont="1" applyFill="1" applyBorder="1" applyAlignment="1">
      <alignment horizontal="right" vertical="top"/>
    </xf>
    <xf numFmtId="165" fontId="3" fillId="10" borderId="1" xfId="0" applyNumberFormat="1" applyFont="1" applyFill="1" applyBorder="1" applyAlignment="1">
      <alignment horizontal="right" vertical="top"/>
    </xf>
    <xf numFmtId="165" fontId="5" fillId="10" borderId="64" xfId="0" applyNumberFormat="1" applyFont="1" applyFill="1" applyBorder="1" applyAlignment="1">
      <alignment horizontal="right" vertical="top"/>
    </xf>
    <xf numFmtId="165" fontId="3" fillId="10" borderId="39" xfId="0" applyNumberFormat="1" applyFont="1" applyFill="1" applyBorder="1" applyAlignment="1">
      <alignment horizontal="right" vertical="top"/>
    </xf>
    <xf numFmtId="165" fontId="5" fillId="10" borderId="67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vertical="top"/>
    </xf>
    <xf numFmtId="165" fontId="3" fillId="10" borderId="13" xfId="0" applyNumberFormat="1" applyFont="1" applyFill="1" applyBorder="1" applyAlignment="1">
      <alignment vertical="top"/>
    </xf>
    <xf numFmtId="165" fontId="3" fillId="10" borderId="15" xfId="0" applyNumberFormat="1" applyFont="1" applyFill="1" applyBorder="1" applyAlignment="1">
      <alignment vertical="top"/>
    </xf>
    <xf numFmtId="165" fontId="3" fillId="10" borderId="16" xfId="0" applyNumberFormat="1" applyFont="1" applyFill="1" applyBorder="1" applyAlignment="1">
      <alignment vertical="top"/>
    </xf>
    <xf numFmtId="165" fontId="3" fillId="10" borderId="2" xfId="0" applyNumberFormat="1" applyFont="1" applyFill="1" applyBorder="1" applyAlignment="1">
      <alignment vertical="top"/>
    </xf>
    <xf numFmtId="165" fontId="3" fillId="10" borderId="18" xfId="0" applyNumberFormat="1" applyFont="1" applyFill="1" applyBorder="1" applyAlignment="1">
      <alignment vertical="top"/>
    </xf>
    <xf numFmtId="165" fontId="3" fillId="10" borderId="10" xfId="0" applyNumberFormat="1" applyFont="1" applyFill="1" applyBorder="1" applyAlignment="1">
      <alignment vertical="top"/>
    </xf>
    <xf numFmtId="165" fontId="3" fillId="10" borderId="17" xfId="0" applyNumberFormat="1" applyFont="1" applyFill="1" applyBorder="1" applyAlignment="1">
      <alignment vertical="top"/>
    </xf>
    <xf numFmtId="165" fontId="3" fillId="10" borderId="19" xfId="0" applyNumberFormat="1" applyFont="1" applyFill="1" applyBorder="1" applyAlignment="1">
      <alignment vertical="top"/>
    </xf>
    <xf numFmtId="165" fontId="19" fillId="10" borderId="12" xfId="0" applyNumberFormat="1" applyFont="1" applyFill="1" applyBorder="1" applyAlignment="1">
      <alignment horizontal="right" vertical="top"/>
    </xf>
    <xf numFmtId="165" fontId="19" fillId="10" borderId="13" xfId="0" applyNumberFormat="1" applyFont="1" applyFill="1" applyBorder="1" applyAlignment="1">
      <alignment horizontal="right" vertical="top"/>
    </xf>
    <xf numFmtId="165" fontId="19" fillId="10" borderId="17" xfId="0" applyNumberFormat="1" applyFont="1" applyFill="1" applyBorder="1" applyAlignment="1">
      <alignment horizontal="right" vertical="top"/>
    </xf>
    <xf numFmtId="165" fontId="19" fillId="10" borderId="20" xfId="0" applyNumberFormat="1" applyFont="1" applyFill="1" applyBorder="1" applyAlignment="1">
      <alignment horizontal="right" vertical="top"/>
    </xf>
    <xf numFmtId="165" fontId="20" fillId="10" borderId="59" xfId="0" applyNumberFormat="1" applyFont="1" applyFill="1" applyBorder="1" applyAlignment="1">
      <alignment horizontal="right" vertical="top"/>
    </xf>
    <xf numFmtId="165" fontId="20" fillId="10" borderId="3" xfId="0" applyNumberFormat="1" applyFont="1" applyFill="1" applyBorder="1" applyAlignment="1">
      <alignment horizontal="right" vertical="top"/>
    </xf>
    <xf numFmtId="165" fontId="3" fillId="10" borderId="12" xfId="0" applyNumberFormat="1" applyFont="1" applyFill="1" applyBorder="1" applyAlignment="1">
      <alignment horizontal="right" vertical="center"/>
    </xf>
    <xf numFmtId="165" fontId="3" fillId="10" borderId="58" xfId="0" applyNumberFormat="1" applyFont="1" applyFill="1" applyBorder="1" applyAlignment="1">
      <alignment horizontal="right" vertical="center"/>
    </xf>
    <xf numFmtId="165" fontId="3" fillId="10" borderId="71" xfId="0" applyNumberFormat="1" applyFont="1" applyFill="1" applyBorder="1" applyAlignment="1">
      <alignment horizontal="right" vertical="center"/>
    </xf>
    <xf numFmtId="165" fontId="3" fillId="10" borderId="8" xfId="0" applyNumberFormat="1" applyFont="1" applyFill="1" applyBorder="1" applyAlignment="1">
      <alignment horizontal="right" vertical="top"/>
    </xf>
    <xf numFmtId="166" fontId="9" fillId="10" borderId="28" xfId="0" applyNumberFormat="1" applyFont="1" applyFill="1" applyBorder="1" applyAlignment="1">
      <alignment vertical="top" wrapText="1"/>
    </xf>
    <xf numFmtId="165" fontId="3" fillId="10" borderId="28" xfId="0" applyNumberFormat="1" applyFont="1" applyFill="1" applyBorder="1" applyAlignment="1">
      <alignment horizontal="right" vertical="top"/>
    </xf>
    <xf numFmtId="165" fontId="3" fillId="10" borderId="47" xfId="0" applyNumberFormat="1" applyFont="1" applyFill="1" applyBorder="1" applyAlignment="1">
      <alignment horizontal="right" vertical="top"/>
    </xf>
    <xf numFmtId="165" fontId="5" fillId="10" borderId="75" xfId="0" applyNumberFormat="1" applyFont="1" applyFill="1" applyBorder="1" applyAlignment="1">
      <alignment horizontal="right" vertical="top"/>
    </xf>
    <xf numFmtId="165" fontId="5" fillId="10" borderId="36" xfId="0" applyNumberFormat="1" applyFont="1" applyFill="1" applyBorder="1" applyAlignment="1">
      <alignment horizontal="right" vertical="top"/>
    </xf>
    <xf numFmtId="0" fontId="5" fillId="10" borderId="57" xfId="0" applyFont="1" applyFill="1" applyBorder="1" applyAlignment="1">
      <alignment horizontal="center" vertical="top"/>
    </xf>
    <xf numFmtId="165" fontId="5" fillId="10" borderId="45" xfId="0" applyNumberFormat="1" applyFont="1" applyFill="1" applyBorder="1" applyAlignment="1">
      <alignment horizontal="right" vertical="top"/>
    </xf>
    <xf numFmtId="165" fontId="5" fillId="10" borderId="1" xfId="0" applyNumberFormat="1" applyFont="1" applyFill="1" applyBorder="1" applyAlignment="1">
      <alignment horizontal="right" vertical="top"/>
    </xf>
    <xf numFmtId="165" fontId="5" fillId="10" borderId="42" xfId="0" applyNumberFormat="1" applyFont="1" applyFill="1" applyBorder="1" applyAlignment="1">
      <alignment horizontal="right" vertical="top"/>
    </xf>
    <xf numFmtId="165" fontId="5" fillId="10" borderId="6" xfId="0" applyNumberFormat="1" applyFont="1" applyFill="1" applyBorder="1" applyAlignment="1">
      <alignment horizontal="right" vertical="top"/>
    </xf>
    <xf numFmtId="0" fontId="5" fillId="10" borderId="73" xfId="0" applyFont="1" applyFill="1" applyBorder="1" applyAlignment="1">
      <alignment horizontal="center" vertical="top"/>
    </xf>
    <xf numFmtId="165" fontId="5" fillId="10" borderId="61" xfId="0" applyNumberFormat="1" applyFont="1" applyFill="1" applyBorder="1" applyAlignment="1">
      <alignment horizontal="right" vertical="top"/>
    </xf>
    <xf numFmtId="0" fontId="5" fillId="10" borderId="6" xfId="0" applyFont="1" applyFill="1" applyBorder="1" applyAlignment="1">
      <alignment horizontal="center" vertical="top"/>
    </xf>
    <xf numFmtId="0" fontId="5" fillId="10" borderId="61" xfId="0" applyFont="1" applyFill="1" applyBorder="1" applyAlignment="1">
      <alignment horizontal="center" vertical="top"/>
    </xf>
    <xf numFmtId="0" fontId="3" fillId="8" borderId="7" xfId="0" applyFont="1" applyFill="1" applyBorder="1" applyAlignment="1">
      <alignment horizontal="center" vertical="top"/>
    </xf>
    <xf numFmtId="0" fontId="3" fillId="8" borderId="23" xfId="0" applyFont="1" applyFill="1" applyBorder="1" applyAlignment="1">
      <alignment horizontal="center" vertical="top"/>
    </xf>
    <xf numFmtId="0" fontId="5" fillId="10" borderId="66" xfId="0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right" vertical="top"/>
    </xf>
    <xf numFmtId="165" fontId="5" fillId="10" borderId="73" xfId="0" applyNumberFormat="1" applyFont="1" applyFill="1" applyBorder="1" applyAlignment="1">
      <alignment horizontal="right" vertical="top"/>
    </xf>
    <xf numFmtId="165" fontId="5" fillId="10" borderId="66" xfId="0" applyNumberFormat="1" applyFont="1" applyFill="1" applyBorder="1" applyAlignment="1">
      <alignment horizontal="right" vertical="top"/>
    </xf>
    <xf numFmtId="165" fontId="5" fillId="7" borderId="56" xfId="0" applyNumberFormat="1" applyFont="1" applyFill="1" applyBorder="1" applyAlignment="1">
      <alignment horizontal="right" vertical="top"/>
    </xf>
    <xf numFmtId="0" fontId="5" fillId="10" borderId="52" xfId="0" applyFont="1" applyFill="1" applyBorder="1" applyAlignment="1">
      <alignment horizontal="center" vertical="top" wrapText="1"/>
    </xf>
    <xf numFmtId="165" fontId="5" fillId="10" borderId="6" xfId="0" applyNumberFormat="1" applyFont="1" applyFill="1" applyBorder="1" applyAlignment="1">
      <alignment horizontal="center" vertical="top" wrapText="1"/>
    </xf>
    <xf numFmtId="165" fontId="5" fillId="10" borderId="52" xfId="0" applyNumberFormat="1" applyFont="1" applyFill="1" applyBorder="1" applyAlignment="1">
      <alignment horizontal="center" vertical="top" wrapText="1"/>
    </xf>
    <xf numFmtId="165" fontId="23" fillId="0" borderId="0" xfId="0" applyNumberFormat="1" applyFont="1" applyAlignment="1">
      <alignment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21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165" fontId="3" fillId="2" borderId="46" xfId="0" applyNumberFormat="1" applyFont="1" applyFill="1" applyBorder="1" applyAlignment="1">
      <alignment horizontal="right" vertical="top"/>
    </xf>
    <xf numFmtId="0" fontId="3" fillId="8" borderId="40" xfId="0" applyFont="1" applyFill="1" applyBorder="1" applyAlignment="1">
      <alignment horizontal="center" vertical="top" wrapText="1"/>
    </xf>
    <xf numFmtId="165" fontId="3" fillId="8" borderId="0" xfId="0" applyNumberFormat="1" applyFont="1" applyFill="1" applyBorder="1" applyAlignment="1">
      <alignment horizontal="right" vertical="top"/>
    </xf>
    <xf numFmtId="165" fontId="3" fillId="8" borderId="9" xfId="0" applyNumberFormat="1" applyFont="1" applyFill="1" applyBorder="1" applyAlignment="1">
      <alignment horizontal="right" vertical="top"/>
    </xf>
    <xf numFmtId="49" fontId="5" fillId="8" borderId="17" xfId="0" applyNumberFormat="1" applyFont="1" applyFill="1" applyBorder="1" applyAlignment="1">
      <alignment horizontal="center" vertical="top"/>
    </xf>
    <xf numFmtId="165" fontId="3" fillId="10" borderId="10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 wrapText="1"/>
    </xf>
    <xf numFmtId="165" fontId="19" fillId="10" borderId="10" xfId="0" applyNumberFormat="1" applyFont="1" applyFill="1" applyBorder="1" applyAlignment="1">
      <alignment horizontal="right" vertical="top"/>
    </xf>
    <xf numFmtId="0" fontId="5" fillId="8" borderId="40" xfId="0" applyFont="1" applyFill="1" applyBorder="1" applyAlignment="1">
      <alignment horizontal="center" vertical="top"/>
    </xf>
    <xf numFmtId="165" fontId="20" fillId="10" borderId="10" xfId="0" applyNumberFormat="1" applyFont="1" applyFill="1" applyBorder="1" applyAlignment="1">
      <alignment horizontal="right" vertical="top"/>
    </xf>
    <xf numFmtId="165" fontId="5" fillId="10" borderId="17" xfId="0" applyNumberFormat="1" applyFont="1" applyFill="1" applyBorder="1" applyAlignment="1">
      <alignment horizontal="right" vertical="top"/>
    </xf>
    <xf numFmtId="165" fontId="5" fillId="10" borderId="19" xfId="0" applyNumberFormat="1" applyFont="1" applyFill="1" applyBorder="1" applyAlignment="1">
      <alignment horizontal="right" vertical="top"/>
    </xf>
    <xf numFmtId="165" fontId="5" fillId="8" borderId="0" xfId="0" applyNumberFormat="1" applyFont="1" applyFill="1" applyBorder="1" applyAlignment="1">
      <alignment horizontal="right" vertical="top"/>
    </xf>
    <xf numFmtId="165" fontId="5" fillId="8" borderId="9" xfId="0" applyNumberFormat="1" applyFont="1" applyFill="1" applyBorder="1" applyAlignment="1">
      <alignment horizontal="right" vertical="top"/>
    </xf>
    <xf numFmtId="165" fontId="3" fillId="8" borderId="0" xfId="0" applyNumberFormat="1" applyFont="1" applyFill="1" applyBorder="1" applyAlignment="1">
      <alignment horizontal="right" vertical="top" wrapText="1"/>
    </xf>
    <xf numFmtId="165" fontId="3" fillId="8" borderId="9" xfId="0" applyNumberFormat="1" applyFont="1" applyFill="1" applyBorder="1" applyAlignment="1">
      <alignment horizontal="right" vertical="top" wrapText="1"/>
    </xf>
    <xf numFmtId="0" fontId="3" fillId="8" borderId="40" xfId="0" applyFont="1" applyFill="1" applyBorder="1" applyAlignment="1">
      <alignment horizontal="center" vertical="top"/>
    </xf>
    <xf numFmtId="165" fontId="3" fillId="8" borderId="53" xfId="0" applyNumberFormat="1" applyFont="1" applyFill="1" applyBorder="1" applyAlignment="1">
      <alignment horizontal="right" vertical="top"/>
    </xf>
    <xf numFmtId="165" fontId="5" fillId="8" borderId="53" xfId="0" applyNumberFormat="1" applyFont="1" applyFill="1" applyBorder="1" applyAlignment="1">
      <alignment horizontal="right" vertical="top"/>
    </xf>
    <xf numFmtId="0" fontId="9" fillId="0" borderId="10" xfId="0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0" fontId="3" fillId="8" borderId="9" xfId="0" applyFont="1" applyFill="1" applyBorder="1" applyAlignment="1">
      <alignment horizontal="center" vertical="top" wrapText="1"/>
    </xf>
    <xf numFmtId="3" fontId="3" fillId="2" borderId="21" xfId="0" applyNumberFormat="1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top"/>
    </xf>
    <xf numFmtId="165" fontId="5" fillId="10" borderId="39" xfId="0" applyNumberFormat="1" applyFont="1" applyFill="1" applyBorder="1" applyAlignment="1">
      <alignment horizontal="right" vertical="top"/>
    </xf>
    <xf numFmtId="165" fontId="5" fillId="10" borderId="50" xfId="0" applyNumberFormat="1" applyFont="1" applyFill="1" applyBorder="1" applyAlignment="1">
      <alignment horizontal="right" vertical="top"/>
    </xf>
    <xf numFmtId="165" fontId="3" fillId="8" borderId="53" xfId="0" applyNumberFormat="1" applyFont="1" applyFill="1" applyBorder="1" applyAlignment="1">
      <alignment horizontal="right" vertical="top" wrapText="1"/>
    </xf>
    <xf numFmtId="165" fontId="3" fillId="0" borderId="46" xfId="0" applyNumberFormat="1" applyFont="1" applyFill="1" applyBorder="1" applyAlignment="1">
      <alignment horizontal="right" vertical="top" wrapText="1"/>
    </xf>
    <xf numFmtId="0" fontId="3" fillId="0" borderId="46" xfId="0" applyFont="1" applyFill="1" applyBorder="1" applyAlignment="1">
      <alignment horizontal="center" vertical="top" wrapText="1"/>
    </xf>
    <xf numFmtId="165" fontId="3" fillId="10" borderId="72" xfId="0" applyNumberFormat="1" applyFont="1" applyFill="1" applyBorder="1" applyAlignment="1">
      <alignment horizontal="right" vertical="top"/>
    </xf>
    <xf numFmtId="165" fontId="3" fillId="8" borderId="65" xfId="0" applyNumberFormat="1" applyFont="1" applyFill="1" applyBorder="1" applyAlignment="1">
      <alignment horizontal="right" vertical="top"/>
    </xf>
    <xf numFmtId="49" fontId="5" fillId="8" borderId="26" xfId="0" applyNumberFormat="1" applyFont="1" applyFill="1" applyBorder="1" applyAlignment="1">
      <alignment horizontal="center" vertical="top"/>
    </xf>
    <xf numFmtId="165" fontId="3" fillId="10" borderId="26" xfId="0" applyNumberFormat="1" applyFont="1" applyFill="1" applyBorder="1" applyAlignment="1">
      <alignment horizontal="right" vertical="top"/>
    </xf>
    <xf numFmtId="165" fontId="3" fillId="8" borderId="46" xfId="0" applyNumberFormat="1" applyFont="1" applyFill="1" applyBorder="1" applyAlignment="1">
      <alignment horizontal="right" vertical="top"/>
    </xf>
    <xf numFmtId="165" fontId="3" fillId="10" borderId="41" xfId="0" applyNumberFormat="1" applyFont="1" applyFill="1" applyBorder="1" applyAlignment="1">
      <alignment horizontal="right" vertical="top"/>
    </xf>
    <xf numFmtId="165" fontId="3" fillId="8" borderId="54" xfId="0" applyNumberFormat="1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165" fontId="5" fillId="0" borderId="9" xfId="0" applyNumberFormat="1" applyFont="1" applyFill="1" applyBorder="1" applyAlignment="1">
      <alignment horizontal="right" vertical="top"/>
    </xf>
    <xf numFmtId="165" fontId="5" fillId="0" borderId="53" xfId="0" applyNumberFormat="1" applyFont="1" applyFill="1" applyBorder="1" applyAlignment="1">
      <alignment horizontal="right" vertical="top"/>
    </xf>
    <xf numFmtId="0" fontId="5" fillId="0" borderId="32" xfId="0" applyFont="1" applyBorder="1" applyAlignment="1">
      <alignment horizontal="left" vertical="top" wrapText="1"/>
    </xf>
    <xf numFmtId="165" fontId="3" fillId="10" borderId="29" xfId="0" applyNumberFormat="1" applyFont="1" applyFill="1" applyBorder="1" applyAlignment="1">
      <alignment horizontal="right" vertical="top"/>
    </xf>
    <xf numFmtId="165" fontId="5" fillId="10" borderId="10" xfId="0" applyNumberFormat="1" applyFont="1" applyFill="1" applyBorder="1" applyAlignment="1">
      <alignment vertical="top"/>
    </xf>
    <xf numFmtId="165" fontId="5" fillId="10" borderId="17" xfId="0" applyNumberFormat="1" applyFont="1" applyFill="1" applyBorder="1" applyAlignment="1">
      <alignment vertical="top"/>
    </xf>
    <xf numFmtId="165" fontId="5" fillId="10" borderId="19" xfId="0" applyNumberFormat="1" applyFont="1" applyFill="1" applyBorder="1" applyAlignment="1">
      <alignment vertical="top"/>
    </xf>
    <xf numFmtId="165" fontId="5" fillId="0" borderId="39" xfId="0" applyNumberFormat="1" applyFont="1" applyFill="1" applyBorder="1" applyAlignment="1">
      <alignment vertical="top"/>
    </xf>
    <xf numFmtId="165" fontId="3" fillId="0" borderId="6" xfId="0" applyNumberFormat="1" applyFont="1" applyFill="1" applyBorder="1" applyAlignment="1">
      <alignment horizontal="right" vertical="top" wrapText="1"/>
    </xf>
    <xf numFmtId="165" fontId="3" fillId="0" borderId="52" xfId="0" applyNumberFormat="1" applyFont="1" applyFill="1" applyBorder="1" applyAlignment="1">
      <alignment horizontal="right" vertical="top" wrapText="1"/>
    </xf>
    <xf numFmtId="0" fontId="3" fillId="0" borderId="57" xfId="0" applyFont="1" applyFill="1" applyBorder="1" applyAlignment="1">
      <alignment horizontal="center" vertical="top" wrapText="1"/>
    </xf>
    <xf numFmtId="165" fontId="3" fillId="10" borderId="45" xfId="0" applyNumberFormat="1" applyFont="1" applyFill="1" applyBorder="1" applyAlignment="1">
      <alignment horizontal="right" vertical="top"/>
    </xf>
    <xf numFmtId="0" fontId="7" fillId="0" borderId="17" xfId="0" applyFont="1" applyFill="1" applyBorder="1" applyAlignment="1">
      <alignment horizontal="center" vertical="top"/>
    </xf>
    <xf numFmtId="0" fontId="7" fillId="11" borderId="10" xfId="0" applyFont="1" applyFill="1" applyBorder="1" applyAlignment="1">
      <alignment horizontal="center" vertical="top"/>
    </xf>
    <xf numFmtId="0" fontId="7" fillId="12" borderId="50" xfId="0" applyFont="1" applyFill="1" applyBorder="1" applyAlignment="1">
      <alignment horizontal="center" vertical="top"/>
    </xf>
    <xf numFmtId="49" fontId="5" fillId="4" borderId="77" xfId="0" applyNumberFormat="1" applyFont="1" applyFill="1" applyBorder="1" applyAlignment="1">
      <alignment horizontal="center" vertical="top"/>
    </xf>
    <xf numFmtId="0" fontId="7" fillId="11" borderId="40" xfId="0" applyFont="1" applyFill="1" applyBorder="1" applyAlignment="1">
      <alignment horizontal="center" vertical="top"/>
    </xf>
    <xf numFmtId="0" fontId="3" fillId="8" borderId="9" xfId="0" applyFont="1" applyFill="1" applyBorder="1" applyAlignment="1">
      <alignment horizontal="center" vertical="top"/>
    </xf>
    <xf numFmtId="0" fontId="3" fillId="8" borderId="4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right" vertical="top"/>
    </xf>
    <xf numFmtId="0" fontId="3" fillId="0" borderId="9" xfId="0" applyFont="1" applyBorder="1" applyAlignment="1">
      <alignment horizontal="center" vertical="top" wrapText="1"/>
    </xf>
    <xf numFmtId="165" fontId="3" fillId="2" borderId="54" xfId="0" applyNumberFormat="1" applyFont="1" applyFill="1" applyBorder="1" applyAlignment="1">
      <alignment horizontal="right" vertical="top" wrapText="1"/>
    </xf>
    <xf numFmtId="165" fontId="3" fillId="2" borderId="41" xfId="0" applyNumberFormat="1" applyFont="1" applyFill="1" applyBorder="1" applyAlignment="1">
      <alignment horizontal="right" vertical="top" wrapText="1"/>
    </xf>
    <xf numFmtId="0" fontId="3" fillId="0" borderId="24" xfId="0" applyFont="1" applyBorder="1" applyAlignment="1">
      <alignment horizontal="center" vertical="top" wrapText="1"/>
    </xf>
    <xf numFmtId="165" fontId="3" fillId="2" borderId="49" xfId="0" applyNumberFormat="1" applyFont="1" applyFill="1" applyBorder="1" applyAlignment="1">
      <alignment horizontal="right" vertical="top"/>
    </xf>
    <xf numFmtId="165" fontId="3" fillId="2" borderId="24" xfId="0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 applyAlignment="1">
      <alignment horizontal="right" vertical="top"/>
    </xf>
    <xf numFmtId="165" fontId="3" fillId="10" borderId="0" xfId="0" applyNumberFormat="1" applyFont="1" applyFill="1" applyBorder="1" applyAlignment="1">
      <alignment horizontal="right" vertical="top"/>
    </xf>
    <xf numFmtId="165" fontId="23" fillId="10" borderId="17" xfId="0" applyNumberFormat="1" applyFont="1" applyFill="1" applyBorder="1" applyAlignment="1">
      <alignment horizontal="right" vertical="top"/>
    </xf>
    <xf numFmtId="165" fontId="3" fillId="10" borderId="0" xfId="0" applyNumberFormat="1" applyFont="1" applyFill="1" applyBorder="1" applyAlignment="1">
      <alignment horizontal="center" vertical="top"/>
    </xf>
    <xf numFmtId="165" fontId="3" fillId="10" borderId="19" xfId="0" applyNumberFormat="1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165" fontId="3" fillId="10" borderId="71" xfId="0" applyNumberFormat="1" applyFont="1" applyFill="1" applyBorder="1" applyAlignment="1">
      <alignment horizontal="right" vertical="top"/>
    </xf>
    <xf numFmtId="165" fontId="3" fillId="0" borderId="55" xfId="0" applyNumberFormat="1" applyFont="1" applyFill="1" applyBorder="1" applyAlignment="1">
      <alignment horizontal="right" vertical="top"/>
    </xf>
    <xf numFmtId="165" fontId="3" fillId="8" borderId="7" xfId="0" applyNumberFormat="1" applyFont="1" applyFill="1" applyBorder="1" applyAlignment="1">
      <alignment horizontal="right" vertical="top"/>
    </xf>
    <xf numFmtId="49" fontId="3" fillId="0" borderId="26" xfId="0" applyNumberFormat="1" applyFont="1" applyBorder="1" applyAlignment="1">
      <alignment horizontal="center" vertical="top" wrapText="1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textRotation="90" wrapText="1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0" fontId="5" fillId="8" borderId="24" xfId="0" applyFont="1" applyFill="1" applyBorder="1" applyAlignment="1">
      <alignment horizontal="center" vertical="top"/>
    </xf>
    <xf numFmtId="165" fontId="5" fillId="10" borderId="34" xfId="0" applyNumberFormat="1" applyFont="1" applyFill="1" applyBorder="1" applyAlignment="1">
      <alignment horizontal="right" vertical="top"/>
    </xf>
    <xf numFmtId="165" fontId="5" fillId="10" borderId="33" xfId="0" applyNumberFormat="1" applyFont="1" applyFill="1" applyBorder="1" applyAlignment="1">
      <alignment horizontal="right" vertical="top"/>
    </xf>
    <xf numFmtId="165" fontId="5" fillId="8" borderId="24" xfId="0" applyNumberFormat="1" applyFont="1" applyFill="1" applyBorder="1" applyAlignment="1">
      <alignment horizontal="right" vertical="top"/>
    </xf>
    <xf numFmtId="0" fontId="5" fillId="8" borderId="70" xfId="0" applyFont="1" applyFill="1" applyBorder="1" applyAlignment="1">
      <alignment horizontal="center" vertical="top"/>
    </xf>
    <xf numFmtId="165" fontId="5" fillId="10" borderId="31" xfId="0" applyNumberFormat="1" applyFont="1" applyFill="1" applyBorder="1" applyAlignment="1">
      <alignment horizontal="right" vertical="top"/>
    </xf>
    <xf numFmtId="165" fontId="5" fillId="8" borderId="49" xfId="0" applyNumberFormat="1" applyFont="1" applyFill="1" applyBorder="1" applyAlignment="1">
      <alignment horizontal="right" vertical="top"/>
    </xf>
    <xf numFmtId="165" fontId="5" fillId="10" borderId="20" xfId="0" applyNumberFormat="1" applyFont="1" applyFill="1" applyBorder="1" applyAlignment="1">
      <alignment horizontal="right" vertical="top"/>
    </xf>
    <xf numFmtId="165" fontId="5" fillId="10" borderId="32" xfId="0" applyNumberFormat="1" applyFont="1" applyFill="1" applyBorder="1" applyAlignment="1">
      <alignment horizontal="right" vertical="top"/>
    </xf>
    <xf numFmtId="165" fontId="5" fillId="8" borderId="55" xfId="0" applyNumberFormat="1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 vertical="top"/>
    </xf>
    <xf numFmtId="165" fontId="19" fillId="10" borderId="8" xfId="0" applyNumberFormat="1" applyFont="1" applyFill="1" applyBorder="1" applyAlignment="1">
      <alignment horizontal="right" vertical="top"/>
    </xf>
    <xf numFmtId="165" fontId="19" fillId="10" borderId="28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center"/>
    </xf>
    <xf numFmtId="0" fontId="3" fillId="0" borderId="46" xfId="0" applyFont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0" fontId="3" fillId="0" borderId="34" xfId="0" applyFont="1" applyBorder="1" applyAlignment="1">
      <alignment vertical="top" wrapText="1"/>
    </xf>
    <xf numFmtId="0" fontId="9" fillId="0" borderId="10" xfId="0" applyFont="1" applyBorder="1" applyAlignment="1">
      <alignment vertical="center" textRotation="90" wrapText="1"/>
    </xf>
    <xf numFmtId="0" fontId="24" fillId="0" borderId="31" xfId="0" applyFont="1" applyBorder="1" applyAlignment="1">
      <alignment vertical="center" textRotation="90" wrapText="1"/>
    </xf>
    <xf numFmtId="165" fontId="3" fillId="10" borderId="31" xfId="0" applyNumberFormat="1" applyFont="1" applyFill="1" applyBorder="1" applyAlignment="1">
      <alignment vertical="top"/>
    </xf>
    <xf numFmtId="165" fontId="3" fillId="10" borderId="34" xfId="0" applyNumberFormat="1" applyFont="1" applyFill="1" applyBorder="1" applyAlignment="1">
      <alignment vertical="top"/>
    </xf>
    <xf numFmtId="165" fontId="3" fillId="10" borderId="33" xfId="0" applyNumberFormat="1" applyFont="1" applyFill="1" applyBorder="1" applyAlignment="1">
      <alignment vertical="top"/>
    </xf>
    <xf numFmtId="165" fontId="3" fillId="0" borderId="55" xfId="0" applyNumberFormat="1" applyFont="1" applyFill="1" applyBorder="1" applyAlignment="1">
      <alignment vertical="top"/>
    </xf>
    <xf numFmtId="0" fontId="7" fillId="12" borderId="17" xfId="0" applyFont="1" applyFill="1" applyBorder="1" applyAlignment="1">
      <alignment horizontal="center" vertical="top"/>
    </xf>
    <xf numFmtId="165" fontId="5" fillId="3" borderId="25" xfId="0" applyNumberFormat="1" applyFont="1" applyFill="1" applyBorder="1" applyAlignment="1">
      <alignment horizontal="right" vertical="top"/>
    </xf>
    <xf numFmtId="165" fontId="5" fillId="4" borderId="72" xfId="0" applyNumberFormat="1" applyFont="1" applyFill="1" applyBorder="1" applyAlignment="1">
      <alignment horizontal="right" vertical="top"/>
    </xf>
    <xf numFmtId="165" fontId="5" fillId="4" borderId="8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5" fontId="11" fillId="10" borderId="38" xfId="0" applyNumberFormat="1" applyFont="1" applyFill="1" applyBorder="1" applyAlignment="1">
      <alignment horizontal="right" vertical="top" wrapText="1"/>
    </xf>
    <xf numFmtId="165" fontId="11" fillId="10" borderId="2" xfId="0" applyNumberFormat="1" applyFont="1" applyFill="1" applyBorder="1" applyAlignment="1">
      <alignment horizontal="right" vertical="top" wrapText="1"/>
    </xf>
    <xf numFmtId="165" fontId="11" fillId="10" borderId="18" xfId="0" applyNumberFormat="1" applyFont="1" applyFill="1" applyBorder="1" applyAlignment="1">
      <alignment horizontal="right" vertical="top" wrapText="1"/>
    </xf>
    <xf numFmtId="165" fontId="11" fillId="10" borderId="51" xfId="0" applyNumberFormat="1" applyFont="1" applyFill="1" applyBorder="1" applyAlignment="1">
      <alignment horizontal="right" vertical="top" wrapText="1"/>
    </xf>
    <xf numFmtId="165" fontId="11" fillId="10" borderId="48" xfId="0" applyNumberFormat="1" applyFont="1" applyFill="1" applyBorder="1" applyAlignment="1">
      <alignment horizontal="right" vertical="top" wrapText="1"/>
    </xf>
    <xf numFmtId="165" fontId="11" fillId="10" borderId="1" xfId="0" applyNumberFormat="1" applyFont="1" applyFill="1" applyBorder="1" applyAlignment="1">
      <alignment horizontal="right" vertical="top" wrapText="1"/>
    </xf>
    <xf numFmtId="165" fontId="5" fillId="10" borderId="51" xfId="0" applyNumberFormat="1" applyFont="1" applyFill="1" applyBorder="1" applyAlignment="1">
      <alignment horizontal="right" vertical="top" wrapText="1"/>
    </xf>
    <xf numFmtId="165" fontId="5" fillId="10" borderId="48" xfId="0" applyNumberFormat="1" applyFont="1" applyFill="1" applyBorder="1" applyAlignment="1">
      <alignment horizontal="right" vertical="top" wrapText="1"/>
    </xf>
    <xf numFmtId="165" fontId="5" fillId="10" borderId="1" xfId="0" applyNumberFormat="1" applyFont="1" applyFill="1" applyBorder="1" applyAlignment="1">
      <alignment horizontal="right" vertical="top" wrapText="1"/>
    </xf>
    <xf numFmtId="49" fontId="3" fillId="0" borderId="78" xfId="0" applyNumberFormat="1" applyFont="1" applyFill="1" applyBorder="1" applyAlignment="1">
      <alignment horizontal="center" vertical="top"/>
    </xf>
    <xf numFmtId="49" fontId="3" fillId="0" borderId="76" xfId="0" applyNumberFormat="1" applyFont="1" applyFill="1" applyBorder="1" applyAlignment="1">
      <alignment horizontal="center" vertical="top"/>
    </xf>
    <xf numFmtId="49" fontId="3" fillId="0" borderId="70" xfId="0" applyNumberFormat="1" applyFont="1" applyFill="1" applyBorder="1" applyAlignment="1">
      <alignment horizontal="center" vertical="top"/>
    </xf>
    <xf numFmtId="49" fontId="3" fillId="0" borderId="40" xfId="0" applyNumberFormat="1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 wrapText="1"/>
    </xf>
    <xf numFmtId="0" fontId="3" fillId="0" borderId="57" xfId="0" applyFont="1" applyFill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/>
    </xf>
    <xf numFmtId="165" fontId="5" fillId="0" borderId="53" xfId="0" applyNumberFormat="1" applyFont="1" applyFill="1" applyBorder="1" applyAlignment="1">
      <alignment vertical="top"/>
    </xf>
    <xf numFmtId="165" fontId="5" fillId="10" borderId="10" xfId="0" applyNumberFormat="1" applyFont="1" applyFill="1" applyBorder="1" applyAlignment="1">
      <alignment horizontal="right" vertical="top"/>
    </xf>
    <xf numFmtId="165" fontId="5" fillId="10" borderId="53" xfId="0" applyNumberFormat="1" applyFont="1" applyFill="1" applyBorder="1" applyAlignment="1">
      <alignment horizontal="right" vertical="top"/>
    </xf>
    <xf numFmtId="165" fontId="5" fillId="3" borderId="5" xfId="0" applyNumberFormat="1" applyFont="1" applyFill="1" applyBorder="1" applyAlignment="1">
      <alignment horizontal="right" vertical="top"/>
    </xf>
    <xf numFmtId="165" fontId="5" fillId="3" borderId="80" xfId="0" applyNumberFormat="1" applyFont="1" applyFill="1" applyBorder="1" applyAlignment="1">
      <alignment horizontal="right" vertical="top"/>
    </xf>
    <xf numFmtId="0" fontId="3" fillId="0" borderId="27" xfId="0" applyFont="1" applyFill="1" applyBorder="1" applyAlignment="1">
      <alignment horizontal="left" vertical="top" wrapText="1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3" borderId="28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34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0" fontId="3" fillId="0" borderId="31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left" vertical="top" wrapText="1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21" xfId="0" applyNumberFormat="1" applyFont="1" applyFill="1" applyBorder="1" applyAlignment="1">
      <alignment horizontal="center" vertical="top" wrapText="1"/>
    </xf>
    <xf numFmtId="0" fontId="26" fillId="0" borderId="0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top" wrapText="1"/>
    </xf>
    <xf numFmtId="165" fontId="27" fillId="10" borderId="45" xfId="0" applyNumberFormat="1" applyFont="1" applyFill="1" applyBorder="1" applyAlignment="1">
      <alignment horizontal="right" vertical="top"/>
    </xf>
    <xf numFmtId="165" fontId="23" fillId="10" borderId="21" xfId="0" applyNumberFormat="1" applyFont="1" applyFill="1" applyBorder="1" applyAlignment="1">
      <alignment horizontal="right" vertical="top"/>
    </xf>
    <xf numFmtId="165" fontId="23" fillId="2" borderId="52" xfId="0" applyNumberFormat="1" applyFont="1" applyFill="1" applyBorder="1" applyAlignment="1">
      <alignment horizontal="right" vertical="top" wrapText="1"/>
    </xf>
    <xf numFmtId="3" fontId="23" fillId="0" borderId="21" xfId="0" applyNumberFormat="1" applyFont="1" applyFill="1" applyBorder="1" applyAlignment="1">
      <alignment horizontal="center" vertical="top"/>
    </xf>
    <xf numFmtId="0" fontId="23" fillId="0" borderId="24" xfId="0" applyFont="1" applyFill="1" applyBorder="1" applyAlignment="1">
      <alignment horizontal="center" vertical="top" wrapText="1"/>
    </xf>
    <xf numFmtId="165" fontId="23" fillId="10" borderId="31" xfId="0" applyNumberFormat="1" applyFont="1" applyFill="1" applyBorder="1" applyAlignment="1">
      <alignment horizontal="right" vertical="top"/>
    </xf>
    <xf numFmtId="165" fontId="23" fillId="0" borderId="53" xfId="0" applyNumberFormat="1" applyFont="1" applyFill="1" applyBorder="1" applyAlignment="1">
      <alignment horizontal="right" vertical="top"/>
    </xf>
    <xf numFmtId="3" fontId="23" fillId="0" borderId="17" xfId="0" applyNumberFormat="1" applyFont="1" applyFill="1" applyBorder="1" applyAlignment="1">
      <alignment horizontal="center" vertical="top"/>
    </xf>
    <xf numFmtId="3" fontId="23" fillId="0" borderId="0" xfId="0" applyNumberFormat="1" applyFont="1" applyFill="1" applyBorder="1" applyAlignment="1">
      <alignment horizontal="center" vertical="top"/>
    </xf>
    <xf numFmtId="0" fontId="29" fillId="0" borderId="66" xfId="0" applyFont="1" applyFill="1" applyBorder="1" applyAlignment="1">
      <alignment horizontal="center" vertical="top"/>
    </xf>
    <xf numFmtId="165" fontId="29" fillId="10" borderId="60" xfId="0" applyNumberFormat="1" applyFont="1" applyFill="1" applyBorder="1" applyAlignment="1">
      <alignment horizontal="right" vertical="top"/>
    </xf>
    <xf numFmtId="165" fontId="29" fillId="10" borderId="59" xfId="0" applyNumberFormat="1" applyFont="1" applyFill="1" applyBorder="1" applyAlignment="1">
      <alignment horizontal="right" vertical="top"/>
    </xf>
    <xf numFmtId="165" fontId="29" fillId="0" borderId="64" xfId="0" applyNumberFormat="1" applyFont="1" applyFill="1" applyBorder="1" applyAlignment="1">
      <alignment horizontal="right" vertical="top"/>
    </xf>
    <xf numFmtId="3" fontId="27" fillId="0" borderId="26" xfId="0" applyNumberFormat="1" applyFont="1" applyFill="1" applyBorder="1" applyAlignment="1">
      <alignment horizontal="center" vertical="top"/>
    </xf>
    <xf numFmtId="3" fontId="27" fillId="0" borderId="3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165" fontId="5" fillId="10" borderId="59" xfId="0" applyNumberFormat="1" applyFont="1" applyFill="1" applyBorder="1" applyAlignment="1">
      <alignment horizontal="right" vertical="top" wrapText="1"/>
    </xf>
    <xf numFmtId="165" fontId="27" fillId="2" borderId="52" xfId="0" applyNumberFormat="1" applyFont="1" applyFill="1" applyBorder="1" applyAlignment="1">
      <alignment horizontal="right" vertical="top" wrapText="1"/>
    </xf>
    <xf numFmtId="165" fontId="27" fillId="10" borderId="1" xfId="0" applyNumberFormat="1" applyFont="1" applyFill="1" applyBorder="1" applyAlignment="1">
      <alignment horizontal="right" vertical="top"/>
    </xf>
    <xf numFmtId="165" fontId="23" fillId="10" borderId="19" xfId="0" applyNumberFormat="1" applyFont="1" applyFill="1" applyBorder="1" applyAlignment="1">
      <alignment horizontal="right" vertical="top"/>
    </xf>
    <xf numFmtId="165" fontId="29" fillId="10" borderId="64" xfId="0" applyNumberFormat="1" applyFont="1" applyFill="1" applyBorder="1" applyAlignment="1">
      <alignment horizontal="right" vertical="top"/>
    </xf>
    <xf numFmtId="165" fontId="27" fillId="12" borderId="4" xfId="0" applyNumberFormat="1" applyFont="1" applyFill="1" applyBorder="1" applyAlignment="1">
      <alignment horizontal="right" vertical="top"/>
    </xf>
    <xf numFmtId="165" fontId="29" fillId="3" borderId="22" xfId="0" applyNumberFormat="1" applyFont="1" applyFill="1" applyBorder="1" applyAlignment="1">
      <alignment horizontal="right" vertical="top" wrapText="1"/>
    </xf>
    <xf numFmtId="165" fontId="29" fillId="10" borderId="64" xfId="0" applyNumberFormat="1" applyFont="1" applyFill="1" applyBorder="1" applyAlignment="1">
      <alignment horizontal="center" vertical="top" wrapText="1"/>
    </xf>
    <xf numFmtId="165" fontId="29" fillId="10" borderId="60" xfId="0" applyNumberFormat="1" applyFont="1" applyFill="1" applyBorder="1" applyAlignment="1">
      <alignment horizontal="right" vertical="top" wrapText="1"/>
    </xf>
    <xf numFmtId="165" fontId="29" fillId="3" borderId="56" xfId="0" applyNumberFormat="1" applyFont="1" applyFill="1" applyBorder="1" applyAlignment="1">
      <alignment horizontal="right" vertical="top" wrapText="1"/>
    </xf>
    <xf numFmtId="49" fontId="23" fillId="0" borderId="21" xfId="0" applyNumberFormat="1" applyFont="1" applyBorder="1" applyAlignment="1">
      <alignment horizontal="center" vertical="top"/>
    </xf>
    <xf numFmtId="49" fontId="29" fillId="0" borderId="53" xfId="0" applyNumberFormat="1" applyFont="1" applyBorder="1" applyAlignment="1">
      <alignment horizontal="center" vertical="top"/>
    </xf>
    <xf numFmtId="0" fontId="23" fillId="8" borderId="40" xfId="0" applyFont="1" applyFill="1" applyBorder="1" applyAlignment="1">
      <alignment horizontal="center" vertical="top"/>
    </xf>
    <xf numFmtId="165" fontId="23" fillId="10" borderId="10" xfId="0" applyNumberFormat="1" applyFont="1" applyFill="1" applyBorder="1" applyAlignment="1">
      <alignment horizontal="right" vertical="top"/>
    </xf>
    <xf numFmtId="165" fontId="29" fillId="10" borderId="17" xfId="0" applyNumberFormat="1" applyFont="1" applyFill="1" applyBorder="1" applyAlignment="1">
      <alignment horizontal="right" vertical="top"/>
    </xf>
    <xf numFmtId="165" fontId="29" fillId="10" borderId="19" xfId="0" applyNumberFormat="1" applyFont="1" applyFill="1" applyBorder="1" applyAlignment="1">
      <alignment horizontal="right" vertical="top"/>
    </xf>
    <xf numFmtId="165" fontId="29" fillId="8" borderId="0" xfId="0" applyNumberFormat="1" applyFont="1" applyFill="1" applyBorder="1" applyAlignment="1">
      <alignment horizontal="right" vertical="top"/>
    </xf>
    <xf numFmtId="165" fontId="29" fillId="8" borderId="40" xfId="0" applyNumberFormat="1" applyFont="1" applyFill="1" applyBorder="1" applyAlignment="1">
      <alignment horizontal="right" vertical="top"/>
    </xf>
    <xf numFmtId="3" fontId="23" fillId="0" borderId="17" xfId="0" applyNumberFormat="1" applyFont="1" applyFill="1" applyBorder="1" applyAlignment="1">
      <alignment horizontal="center" vertical="top" wrapText="1"/>
    </xf>
    <xf numFmtId="49" fontId="23" fillId="0" borderId="34" xfId="0" applyNumberFormat="1" applyFont="1" applyBorder="1" applyAlignment="1">
      <alignment horizontal="center" vertical="top"/>
    </xf>
    <xf numFmtId="0" fontId="29" fillId="8" borderId="40" xfId="0" applyFont="1" applyFill="1" applyBorder="1" applyAlignment="1">
      <alignment horizontal="center" vertical="top"/>
    </xf>
    <xf numFmtId="165" fontId="29" fillId="10" borderId="10" xfId="0" applyNumberFormat="1" applyFont="1" applyFill="1" applyBorder="1" applyAlignment="1">
      <alignment horizontal="right" vertical="top"/>
    </xf>
    <xf numFmtId="165" fontId="29" fillId="10" borderId="3" xfId="0" applyNumberFormat="1" applyFont="1" applyFill="1" applyBorder="1" applyAlignment="1">
      <alignment horizontal="right" vertical="top" wrapText="1"/>
    </xf>
    <xf numFmtId="0" fontId="23" fillId="0" borderId="17" xfId="1" applyNumberFormat="1" applyFont="1" applyFill="1" applyBorder="1" applyAlignment="1">
      <alignment horizontal="left" vertical="top"/>
    </xf>
    <xf numFmtId="0" fontId="23" fillId="0" borderId="17" xfId="1" applyNumberFormat="1" applyFont="1" applyFill="1" applyBorder="1" applyAlignment="1">
      <alignment horizontal="center" vertical="top"/>
    </xf>
    <xf numFmtId="0" fontId="3" fillId="0" borderId="26" xfId="1" applyNumberFormat="1" applyFont="1" applyFill="1" applyBorder="1" applyAlignment="1">
      <alignment horizontal="center" vertical="top"/>
    </xf>
    <xf numFmtId="165" fontId="29" fillId="3" borderId="5" xfId="0" applyNumberFormat="1" applyFont="1" applyFill="1" applyBorder="1" applyAlignment="1">
      <alignment horizontal="right" vertical="top" wrapText="1"/>
    </xf>
    <xf numFmtId="165" fontId="29" fillId="4" borderId="72" xfId="0" applyNumberFormat="1" applyFont="1" applyFill="1" applyBorder="1" applyAlignment="1">
      <alignment horizontal="right" vertical="top" wrapText="1"/>
    </xf>
    <xf numFmtId="165" fontId="29" fillId="4" borderId="54" xfId="0" applyNumberFormat="1" applyFont="1" applyFill="1" applyBorder="1" applyAlignment="1">
      <alignment horizontal="right" vertical="top" wrapText="1"/>
    </xf>
    <xf numFmtId="165" fontId="29" fillId="4" borderId="25" xfId="0" applyNumberFormat="1" applyFont="1" applyFill="1" applyBorder="1" applyAlignment="1">
      <alignment horizontal="right" vertical="top" wrapText="1"/>
    </xf>
    <xf numFmtId="165" fontId="5" fillId="7" borderId="5" xfId="0" applyNumberFormat="1" applyFont="1" applyFill="1" applyBorder="1" applyAlignment="1">
      <alignment horizontal="right" vertical="top"/>
    </xf>
    <xf numFmtId="165" fontId="29" fillId="7" borderId="25" xfId="0" applyNumberFormat="1" applyFont="1" applyFill="1" applyBorder="1" applyAlignment="1">
      <alignment horizontal="right" vertical="top" wrapText="1"/>
    </xf>
    <xf numFmtId="165" fontId="5" fillId="7" borderId="25" xfId="0" applyNumberFormat="1" applyFont="1" applyFill="1" applyBorder="1" applyAlignment="1">
      <alignment horizontal="right" vertical="top"/>
    </xf>
    <xf numFmtId="165" fontId="29" fillId="7" borderId="22" xfId="0" applyNumberFormat="1" applyFont="1" applyFill="1" applyBorder="1" applyAlignment="1">
      <alignment horizontal="right" vertical="top" wrapText="1"/>
    </xf>
    <xf numFmtId="165" fontId="29" fillId="7" borderId="69" xfId="0" applyNumberFormat="1" applyFont="1" applyFill="1" applyBorder="1" applyAlignment="1">
      <alignment horizontal="right" vertical="top" wrapText="1"/>
    </xf>
    <xf numFmtId="165" fontId="3" fillId="0" borderId="54" xfId="0" applyNumberFormat="1" applyFont="1" applyFill="1" applyBorder="1" applyAlignment="1">
      <alignment horizontal="right" vertical="top" wrapText="1"/>
    </xf>
    <xf numFmtId="0" fontId="5" fillId="0" borderId="66" xfId="0" applyFont="1" applyFill="1" applyBorder="1" applyAlignment="1">
      <alignment horizontal="center" vertical="top"/>
    </xf>
    <xf numFmtId="165" fontId="5" fillId="10" borderId="26" xfId="0" applyNumberFormat="1" applyFont="1" applyFill="1" applyBorder="1" applyAlignment="1">
      <alignment horizontal="right" vertical="top"/>
    </xf>
    <xf numFmtId="165" fontId="5" fillId="10" borderId="62" xfId="0" applyNumberFormat="1" applyFont="1" applyFill="1" applyBorder="1" applyAlignment="1">
      <alignment horizontal="right" vertical="top"/>
    </xf>
    <xf numFmtId="165" fontId="5" fillId="0" borderId="66" xfId="0" applyNumberFormat="1" applyFont="1" applyFill="1" applyBorder="1" applyAlignment="1">
      <alignment horizontal="right" vertical="top"/>
    </xf>
    <xf numFmtId="165" fontId="5" fillId="0" borderId="36" xfId="0" applyNumberFormat="1" applyFont="1" applyFill="1" applyBorder="1" applyAlignment="1">
      <alignment horizontal="right" vertical="top"/>
    </xf>
    <xf numFmtId="165" fontId="5" fillId="10" borderId="27" xfId="0" applyNumberFormat="1" applyFont="1" applyFill="1" applyBorder="1" applyAlignment="1">
      <alignment horizontal="right" vertical="top"/>
    </xf>
    <xf numFmtId="165" fontId="5" fillId="8" borderId="66" xfId="0" applyNumberFormat="1" applyFont="1" applyFill="1" applyBorder="1" applyAlignment="1">
      <alignment horizontal="right" vertical="top"/>
    </xf>
    <xf numFmtId="0" fontId="3" fillId="8" borderId="77" xfId="0" applyFont="1" applyFill="1" applyBorder="1" applyAlignment="1">
      <alignment horizontal="center" vertical="top"/>
    </xf>
    <xf numFmtId="165" fontId="5" fillId="10" borderId="28" xfId="0" applyNumberFormat="1" applyFont="1" applyFill="1" applyBorder="1" applyAlignment="1">
      <alignment horizontal="right" vertical="top"/>
    </xf>
    <xf numFmtId="165" fontId="5" fillId="10" borderId="29" xfId="0" applyNumberFormat="1" applyFont="1" applyFill="1" applyBorder="1" applyAlignment="1">
      <alignment horizontal="right" vertical="top"/>
    </xf>
    <xf numFmtId="3" fontId="3" fillId="0" borderId="29" xfId="0" applyNumberFormat="1" applyFont="1" applyFill="1" applyBorder="1" applyAlignment="1">
      <alignment vertical="top" wrapText="1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0" fontId="3" fillId="2" borderId="6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3" borderId="4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center" vertical="top"/>
    </xf>
    <xf numFmtId="165" fontId="19" fillId="10" borderId="11" xfId="0" applyNumberFormat="1" applyFont="1" applyFill="1" applyBorder="1" applyAlignment="1">
      <alignment horizontal="right" vertical="top"/>
    </xf>
    <xf numFmtId="165" fontId="3" fillId="8" borderId="30" xfId="0" applyNumberFormat="1" applyFont="1" applyFill="1" applyBorder="1" applyAlignment="1">
      <alignment horizontal="right" vertical="top"/>
    </xf>
    <xf numFmtId="3" fontId="21" fillId="0" borderId="26" xfId="0" applyNumberFormat="1" applyFont="1" applyFill="1" applyBorder="1" applyAlignment="1">
      <alignment horizontal="center" vertical="center" wrapText="1"/>
    </xf>
    <xf numFmtId="165" fontId="3" fillId="8" borderId="41" xfId="0" applyNumberFormat="1" applyFont="1" applyFill="1" applyBorder="1" applyAlignment="1">
      <alignment horizontal="right" vertical="top"/>
    </xf>
    <xf numFmtId="165" fontId="5" fillId="8" borderId="46" xfId="0" applyNumberFormat="1" applyFont="1" applyFill="1" applyBorder="1" applyAlignment="1">
      <alignment horizontal="right" vertical="top"/>
    </xf>
    <xf numFmtId="0" fontId="3" fillId="0" borderId="8" xfId="1" applyFont="1" applyFill="1" applyBorder="1" applyAlignment="1">
      <alignment vertical="top" wrapText="1"/>
    </xf>
    <xf numFmtId="3" fontId="3" fillId="0" borderId="28" xfId="1" applyNumberFormat="1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62" xfId="0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34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0" fontId="3" fillId="0" borderId="31" xfId="0" applyFont="1" applyFill="1" applyBorder="1" applyAlignment="1">
      <alignment horizontal="left" vertical="top" wrapText="1"/>
    </xf>
    <xf numFmtId="49" fontId="5" fillId="3" borderId="4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0" borderId="28" xfId="0" applyNumberFormat="1" applyFont="1" applyFill="1" applyBorder="1" applyAlignment="1">
      <alignment horizontal="center" vertical="top"/>
    </xf>
    <xf numFmtId="49" fontId="5" fillId="8" borderId="28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top"/>
    </xf>
    <xf numFmtId="49" fontId="3" fillId="0" borderId="26" xfId="0" applyNumberFormat="1" applyFont="1" applyBorder="1" applyAlignment="1">
      <alignment horizontal="center" vertical="top"/>
    </xf>
    <xf numFmtId="3" fontId="3" fillId="2" borderId="17" xfId="0" applyNumberFormat="1" applyFont="1" applyFill="1" applyBorder="1" applyAlignment="1">
      <alignment horizontal="center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left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8" borderId="26" xfId="0" applyNumberFormat="1" applyFont="1" applyFill="1" applyBorder="1" applyAlignment="1">
      <alignment horizontal="center" vertical="top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vertical="top" wrapText="1"/>
    </xf>
    <xf numFmtId="49" fontId="3" fillId="0" borderId="7" xfId="0" applyNumberFormat="1" applyFont="1" applyFill="1" applyBorder="1" applyAlignment="1">
      <alignment horizontal="center" vertical="top"/>
    </xf>
    <xf numFmtId="49" fontId="5" fillId="0" borderId="52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49" fontId="5" fillId="13" borderId="16" xfId="0" applyNumberFormat="1" applyFont="1" applyFill="1" applyBorder="1" applyAlignment="1">
      <alignment horizontal="center" vertical="top" wrapText="1"/>
    </xf>
    <xf numFmtId="49" fontId="5" fillId="13" borderId="40" xfId="0" applyNumberFormat="1" applyFont="1" applyFill="1" applyBorder="1" applyAlignment="1">
      <alignment horizontal="center" vertical="top"/>
    </xf>
    <xf numFmtId="49" fontId="5" fillId="13" borderId="35" xfId="0" applyNumberFormat="1" applyFont="1" applyFill="1" applyBorder="1" applyAlignment="1">
      <alignment horizontal="center" vertical="top"/>
    </xf>
    <xf numFmtId="49" fontId="5" fillId="13" borderId="56" xfId="0" applyNumberFormat="1" applyFont="1" applyFill="1" applyBorder="1" applyAlignment="1">
      <alignment horizontal="center" vertical="top"/>
    </xf>
    <xf numFmtId="49" fontId="5" fillId="13" borderId="63" xfId="0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2" borderId="40" xfId="0" applyFont="1" applyFill="1" applyBorder="1" applyAlignment="1">
      <alignment horizontal="center" vertical="top"/>
    </xf>
    <xf numFmtId="0" fontId="3" fillId="0" borderId="83" xfId="0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horizontal="left" vertical="top" wrapText="1"/>
    </xf>
    <xf numFmtId="3" fontId="3" fillId="0" borderId="85" xfId="0" applyNumberFormat="1" applyFont="1" applyFill="1" applyBorder="1" applyAlignment="1">
      <alignment horizontal="center" vertical="top" wrapText="1"/>
    </xf>
    <xf numFmtId="3" fontId="3" fillId="0" borderId="93" xfId="0" applyNumberFormat="1" applyFont="1" applyFill="1" applyBorder="1" applyAlignment="1">
      <alignment horizontal="center" vertical="top" wrapText="1"/>
    </xf>
    <xf numFmtId="0" fontId="3" fillId="2" borderId="99" xfId="0" applyFont="1" applyFill="1" applyBorder="1" applyAlignment="1">
      <alignment horizontal="center" vertical="top"/>
    </xf>
    <xf numFmtId="0" fontId="3" fillId="0" borderId="95" xfId="0" applyFont="1" applyFill="1" applyBorder="1" applyAlignment="1">
      <alignment horizontal="center" vertical="top" wrapText="1"/>
    </xf>
    <xf numFmtId="0" fontId="3" fillId="0" borderId="84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35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93" xfId="0" applyFont="1" applyBorder="1" applyAlignment="1">
      <alignment vertical="top" wrapText="1"/>
    </xf>
    <xf numFmtId="49" fontId="3" fillId="0" borderId="83" xfId="0" applyNumberFormat="1" applyFont="1" applyFill="1" applyBorder="1" applyAlignment="1">
      <alignment horizontal="center" vertical="top"/>
    </xf>
    <xf numFmtId="3" fontId="3" fillId="0" borderId="85" xfId="0" applyNumberFormat="1" applyFont="1" applyFill="1" applyBorder="1" applyAlignment="1">
      <alignment horizontal="center" vertical="top"/>
    </xf>
    <xf numFmtId="3" fontId="3" fillId="0" borderId="93" xfId="0" applyNumberFormat="1" applyFont="1" applyFill="1" applyBorder="1" applyAlignment="1">
      <alignment horizontal="center" vertical="top"/>
    </xf>
    <xf numFmtId="3" fontId="3" fillId="0" borderId="97" xfId="0" applyNumberFormat="1" applyFont="1" applyFill="1" applyBorder="1" applyAlignment="1">
      <alignment horizontal="center" vertical="top"/>
    </xf>
    <xf numFmtId="3" fontId="3" fillId="0" borderId="98" xfId="0" applyNumberFormat="1" applyFont="1" applyFill="1" applyBorder="1" applyAlignment="1">
      <alignment horizontal="center" vertical="top"/>
    </xf>
    <xf numFmtId="0" fontId="3" fillId="0" borderId="91" xfId="0" applyFont="1" applyFill="1" applyBorder="1" applyAlignment="1">
      <alignment horizontal="left" vertical="top" wrapText="1"/>
    </xf>
    <xf numFmtId="3" fontId="3" fillId="0" borderId="89" xfId="0" applyNumberFormat="1" applyFont="1" applyFill="1" applyBorder="1" applyAlignment="1">
      <alignment horizontal="center" vertical="top"/>
    </xf>
    <xf numFmtId="3" fontId="3" fillId="0" borderId="81" xfId="0" applyNumberFormat="1" applyFont="1" applyFill="1" applyBorder="1" applyAlignment="1">
      <alignment horizontal="center" vertical="top"/>
    </xf>
    <xf numFmtId="0" fontId="7" fillId="12" borderId="35" xfId="0" applyFont="1" applyFill="1" applyBorder="1" applyAlignment="1">
      <alignment vertical="top" wrapText="1"/>
    </xf>
    <xf numFmtId="0" fontId="7" fillId="12" borderId="68" xfId="0" applyNumberFormat="1" applyFont="1" applyFill="1" applyBorder="1" applyAlignment="1">
      <alignment horizontal="center" vertical="top" wrapText="1"/>
    </xf>
    <xf numFmtId="0" fontId="17" fillId="12" borderId="68" xfId="0" applyNumberFormat="1" applyFont="1" applyFill="1" applyBorder="1" applyAlignment="1">
      <alignment horizontal="center" vertical="top"/>
    </xf>
    <xf numFmtId="0" fontId="17" fillId="12" borderId="69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Fill="1" applyBorder="1" applyAlignment="1">
      <alignment horizontal="center" vertical="top" wrapText="1"/>
    </xf>
    <xf numFmtId="0" fontId="3" fillId="0" borderId="84" xfId="0" applyFont="1" applyBorder="1" applyAlignment="1">
      <alignment horizontal="left" vertical="top" wrapText="1"/>
    </xf>
    <xf numFmtId="3" fontId="9" fillId="0" borderId="85" xfId="0" applyNumberFormat="1" applyFont="1" applyBorder="1" applyAlignment="1">
      <alignment horizontal="center" vertical="top"/>
    </xf>
    <xf numFmtId="0" fontId="3" fillId="8" borderId="84" xfId="0" applyFont="1" applyFill="1" applyBorder="1" applyAlignment="1">
      <alignment horizontal="left" vertical="top" wrapText="1"/>
    </xf>
    <xf numFmtId="3" fontId="9" fillId="8" borderId="85" xfId="0" applyNumberFormat="1" applyFont="1" applyFill="1" applyBorder="1" applyAlignment="1">
      <alignment horizontal="center" vertical="top"/>
    </xf>
    <xf numFmtId="0" fontId="3" fillId="0" borderId="16" xfId="1" applyFont="1" applyFill="1" applyBorder="1" applyAlignment="1">
      <alignment vertical="top" wrapText="1"/>
    </xf>
    <xf numFmtId="49" fontId="5" fillId="8" borderId="27" xfId="0" applyNumberFormat="1" applyFont="1" applyFill="1" applyBorder="1" applyAlignment="1">
      <alignment horizontal="center" vertical="top"/>
    </xf>
    <xf numFmtId="0" fontId="3" fillId="8" borderId="40" xfId="0" applyFont="1" applyFill="1" applyBorder="1" applyAlignment="1">
      <alignment horizontal="center" vertical="center" textRotation="90" wrapText="1"/>
    </xf>
    <xf numFmtId="49" fontId="3" fillId="8" borderId="17" xfId="0" applyNumberFormat="1" applyFont="1" applyFill="1" applyBorder="1" applyAlignment="1">
      <alignment horizontal="center" vertical="top" wrapText="1"/>
    </xf>
    <xf numFmtId="166" fontId="19" fillId="0" borderId="19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166" fontId="19" fillId="0" borderId="50" xfId="0" applyNumberFormat="1" applyFont="1" applyFill="1" applyBorder="1" applyAlignment="1">
      <alignment horizontal="center" vertical="top" wrapText="1"/>
    </xf>
    <xf numFmtId="3" fontId="3" fillId="0" borderId="86" xfId="0" applyNumberFormat="1" applyFont="1" applyFill="1" applyBorder="1" applyAlignment="1">
      <alignment horizontal="center" vertical="top" wrapText="1"/>
    </xf>
    <xf numFmtId="166" fontId="3" fillId="0" borderId="85" xfId="0" applyNumberFormat="1" applyFont="1" applyFill="1" applyBorder="1" applyAlignment="1">
      <alignment horizontal="center" vertical="top" wrapText="1"/>
    </xf>
    <xf numFmtId="166" fontId="3" fillId="0" borderId="93" xfId="0" applyNumberFormat="1" applyFont="1" applyFill="1" applyBorder="1" applyAlignment="1">
      <alignment horizontal="center" vertical="top" wrapText="1"/>
    </xf>
    <xf numFmtId="0" fontId="3" fillId="0" borderId="109" xfId="0" applyFont="1" applyFill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/>
    </xf>
    <xf numFmtId="165" fontId="2" fillId="0" borderId="89" xfId="0" applyNumberFormat="1" applyFont="1" applyFill="1" applyBorder="1" applyAlignment="1">
      <alignment horizontal="center" vertical="center" wrapText="1"/>
    </xf>
    <xf numFmtId="165" fontId="2" fillId="0" borderId="8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top"/>
    </xf>
    <xf numFmtId="0" fontId="3" fillId="8" borderId="10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textRotation="90" shrinkToFit="1"/>
    </xf>
    <xf numFmtId="0" fontId="3" fillId="0" borderId="4" xfId="0" applyFont="1" applyBorder="1" applyAlignment="1">
      <alignment horizontal="center" vertical="center" textRotation="90" shrinkToFit="1"/>
    </xf>
    <xf numFmtId="3" fontId="3" fillId="0" borderId="2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06" xfId="0" applyNumberFormat="1" applyFont="1" applyFill="1" applyBorder="1" applyAlignment="1">
      <alignment horizontal="center" vertical="top" wrapText="1"/>
    </xf>
    <xf numFmtId="3" fontId="3" fillId="0" borderId="82" xfId="0" applyNumberFormat="1" applyFont="1" applyFill="1" applyBorder="1" applyAlignment="1">
      <alignment horizontal="center" vertical="top" wrapText="1"/>
    </xf>
    <xf numFmtId="49" fontId="5" fillId="0" borderId="47" xfId="0" applyNumberFormat="1" applyFont="1" applyFill="1" applyBorder="1" applyAlignment="1">
      <alignment horizontal="center" vertical="top"/>
    </xf>
    <xf numFmtId="3" fontId="3" fillId="8" borderId="85" xfId="0" applyNumberFormat="1" applyFont="1" applyFill="1" applyBorder="1" applyAlignment="1">
      <alignment horizontal="center" vertical="top" wrapText="1"/>
    </xf>
    <xf numFmtId="49" fontId="3" fillId="0" borderId="85" xfId="0" applyNumberFormat="1" applyFont="1" applyFill="1" applyBorder="1" applyAlignment="1">
      <alignment horizontal="center" vertical="top" wrapText="1"/>
    </xf>
    <xf numFmtId="49" fontId="3" fillId="0" borderId="93" xfId="0" applyNumberFormat="1" applyFont="1" applyFill="1" applyBorder="1" applyAlignment="1">
      <alignment horizontal="center" vertical="top" wrapText="1"/>
    </xf>
    <xf numFmtId="0" fontId="3" fillId="8" borderId="104" xfId="0" applyFont="1" applyFill="1" applyBorder="1" applyAlignment="1">
      <alignment horizontal="left" vertical="top" wrapText="1"/>
    </xf>
    <xf numFmtId="3" fontId="9" fillId="0" borderId="110" xfId="0" applyNumberFormat="1" applyFont="1" applyBorder="1" applyAlignment="1">
      <alignment horizontal="center" vertical="top" wrapText="1"/>
    </xf>
    <xf numFmtId="0" fontId="3" fillId="0" borderId="91" xfId="0" applyFont="1" applyBorder="1" applyAlignment="1">
      <alignment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vertical="top" wrapText="1"/>
    </xf>
    <xf numFmtId="49" fontId="5" fillId="0" borderId="33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13" borderId="8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8" borderId="62" xfId="0" applyNumberFormat="1" applyFont="1" applyFill="1" applyBorder="1" applyAlignment="1">
      <alignment horizontal="center" vertical="top"/>
    </xf>
    <xf numFmtId="0" fontId="5" fillId="10" borderId="4" xfId="0" applyFont="1" applyFill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49" fontId="5" fillId="0" borderId="49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49" fontId="3" fillId="0" borderId="24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8" fillId="0" borderId="4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40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top"/>
    </xf>
    <xf numFmtId="3" fontId="19" fillId="0" borderId="19" xfId="0" applyNumberFormat="1" applyFont="1" applyFill="1" applyBorder="1" applyAlignment="1">
      <alignment horizontal="center" vertical="top" wrapText="1"/>
    </xf>
    <xf numFmtId="166" fontId="19" fillId="0" borderId="86" xfId="0" applyNumberFormat="1" applyFont="1" applyFill="1" applyBorder="1" applyAlignment="1">
      <alignment horizontal="center" vertical="top" wrapText="1"/>
    </xf>
    <xf numFmtId="166" fontId="19" fillId="0" borderId="9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3" fontId="3" fillId="8" borderId="21" xfId="0" applyNumberFormat="1" applyFont="1" applyFill="1" applyBorder="1" applyAlignment="1">
      <alignment horizontal="center" vertical="top" wrapText="1"/>
    </xf>
    <xf numFmtId="0" fontId="5" fillId="10" borderId="19" xfId="0" applyFont="1" applyFill="1" applyBorder="1" applyAlignment="1">
      <alignment horizontal="center" vertical="top"/>
    </xf>
    <xf numFmtId="3" fontId="3" fillId="8" borderId="17" xfId="0" applyNumberFormat="1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100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70" xfId="0" applyFont="1" applyFill="1" applyBorder="1" applyAlignment="1">
      <alignment horizontal="center" vertical="top"/>
    </xf>
    <xf numFmtId="0" fontId="3" fillId="0" borderId="51" xfId="0" applyFont="1" applyFill="1" applyBorder="1" applyAlignment="1">
      <alignment horizontal="left" vertical="top" wrapText="1"/>
    </xf>
    <xf numFmtId="0" fontId="3" fillId="0" borderId="101" xfId="0" applyFont="1" applyFill="1" applyBorder="1" applyAlignment="1">
      <alignment vertical="top" wrapText="1"/>
    </xf>
    <xf numFmtId="0" fontId="3" fillId="0" borderId="88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vertical="top" wrapText="1"/>
    </xf>
    <xf numFmtId="0" fontId="3" fillId="0" borderId="51" xfId="0" applyFont="1" applyFill="1" applyBorder="1" applyAlignment="1">
      <alignment vertical="top" wrapText="1"/>
    </xf>
    <xf numFmtId="0" fontId="3" fillId="0" borderId="77" xfId="0" applyFont="1" applyFill="1" applyBorder="1" applyAlignment="1">
      <alignment horizontal="center" vertical="top"/>
    </xf>
    <xf numFmtId="0" fontId="5" fillId="10" borderId="35" xfId="0" applyFont="1" applyFill="1" applyBorder="1" applyAlignment="1">
      <alignment horizontal="center" vertical="top"/>
    </xf>
    <xf numFmtId="0" fontId="3" fillId="0" borderId="72" xfId="0" applyFont="1" applyFill="1" applyBorder="1" applyAlignment="1">
      <alignment horizontal="left" vertical="top" wrapText="1"/>
    </xf>
    <xf numFmtId="0" fontId="19" fillId="0" borderId="84" xfId="0" applyFont="1" applyFill="1" applyBorder="1" applyAlignment="1">
      <alignment horizontal="left" vertical="top" wrapText="1"/>
    </xf>
    <xf numFmtId="3" fontId="19" fillId="0" borderId="86" xfId="0" applyNumberFormat="1" applyFont="1" applyFill="1" applyBorder="1" applyAlignment="1">
      <alignment horizontal="center" vertical="top" wrapText="1"/>
    </xf>
    <xf numFmtId="0" fontId="3" fillId="0" borderId="86" xfId="0" applyFont="1" applyBorder="1" applyAlignment="1">
      <alignment horizontal="center" vertical="top"/>
    </xf>
    <xf numFmtId="3" fontId="19" fillId="0" borderId="93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49" fontId="5" fillId="13" borderId="10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left" vertical="top" wrapText="1"/>
    </xf>
    <xf numFmtId="3" fontId="9" fillId="0" borderId="85" xfId="0" applyNumberFormat="1" applyFont="1" applyFill="1" applyBorder="1" applyAlignment="1">
      <alignment horizontal="center" vertical="top" wrapText="1"/>
    </xf>
    <xf numFmtId="3" fontId="9" fillId="8" borderId="37" xfId="0" applyNumberFormat="1" applyFont="1" applyFill="1" applyBorder="1" applyAlignment="1">
      <alignment horizontal="center" vertical="top" wrapText="1"/>
    </xf>
    <xf numFmtId="0" fontId="3" fillId="2" borderId="111" xfId="0" applyFont="1" applyFill="1" applyBorder="1" applyAlignment="1">
      <alignment horizontal="center" vertical="top"/>
    </xf>
    <xf numFmtId="0" fontId="2" fillId="0" borderId="103" xfId="0" applyFont="1" applyBorder="1" applyAlignment="1">
      <alignment vertical="center" textRotation="90" wrapText="1"/>
    </xf>
    <xf numFmtId="0" fontId="3" fillId="8" borderId="1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left" vertical="top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0" fontId="3" fillId="0" borderId="31" xfId="0" applyFont="1" applyBorder="1" applyAlignment="1">
      <alignment vertical="top" wrapText="1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3" fillId="8" borderId="43" xfId="0" applyFont="1" applyFill="1" applyBorder="1" applyAlignment="1">
      <alignment horizontal="left" vertical="top" wrapText="1"/>
    </xf>
    <xf numFmtId="3" fontId="3" fillId="8" borderId="2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/>
    </xf>
    <xf numFmtId="0" fontId="3" fillId="8" borderId="27" xfId="0" applyFont="1" applyFill="1" applyBorder="1" applyAlignment="1">
      <alignment horizontal="left" vertical="top" wrapText="1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77" xfId="0" applyFont="1" applyFill="1" applyBorder="1" applyAlignment="1">
      <alignment horizontal="center" vertical="top" textRotation="90" wrapText="1"/>
    </xf>
    <xf numFmtId="0" fontId="3" fillId="0" borderId="40" xfId="0" applyFont="1" applyFill="1" applyBorder="1" applyAlignment="1">
      <alignment horizontal="center" vertical="top" textRotation="90" wrapText="1"/>
    </xf>
    <xf numFmtId="0" fontId="3" fillId="0" borderId="35" xfId="0" applyFont="1" applyFill="1" applyBorder="1" applyAlignment="1">
      <alignment horizontal="center" vertical="top" textRotation="90" wrapText="1"/>
    </xf>
    <xf numFmtId="49" fontId="5" fillId="0" borderId="19" xfId="0" applyNumberFormat="1" applyFont="1" applyBorder="1" applyAlignment="1">
      <alignment horizontal="center" vertical="top" wrapText="1"/>
    </xf>
    <xf numFmtId="0" fontId="19" fillId="8" borderId="29" xfId="0" applyFont="1" applyFill="1" applyBorder="1" applyAlignment="1">
      <alignment horizontal="left" vertical="top" wrapText="1"/>
    </xf>
    <xf numFmtId="0" fontId="0" fillId="0" borderId="35" xfId="0" applyBorder="1" applyAlignment="1">
      <alignment horizontal="center"/>
    </xf>
    <xf numFmtId="0" fontId="3" fillId="8" borderId="37" xfId="0" applyFont="1" applyFill="1" applyBorder="1" applyAlignment="1">
      <alignment horizontal="left" vertical="top" wrapText="1"/>
    </xf>
    <xf numFmtId="3" fontId="3" fillId="0" borderId="2" xfId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8" borderId="11" xfId="0" applyFill="1" applyBorder="1" applyAlignment="1">
      <alignment vertical="top" wrapText="1"/>
    </xf>
    <xf numFmtId="0" fontId="3" fillId="8" borderId="103" xfId="0" applyFont="1" applyFill="1" applyBorder="1" applyAlignment="1">
      <alignment horizontal="left" vertical="top" wrapText="1"/>
    </xf>
    <xf numFmtId="3" fontId="3" fillId="0" borderId="107" xfId="0" applyNumberFormat="1" applyFont="1" applyFill="1" applyBorder="1" applyAlignment="1">
      <alignment horizontal="center" vertical="top" wrapText="1"/>
    </xf>
    <xf numFmtId="3" fontId="3" fillId="8" borderId="108" xfId="0" applyNumberFormat="1" applyFont="1" applyFill="1" applyBorder="1" applyAlignment="1">
      <alignment horizontal="center" vertical="top" wrapText="1"/>
    </xf>
    <xf numFmtId="0" fontId="3" fillId="8" borderId="39" xfId="1" applyFont="1" applyFill="1" applyBorder="1" applyAlignment="1">
      <alignment vertical="top" wrapText="1"/>
    </xf>
    <xf numFmtId="3" fontId="3" fillId="8" borderId="50" xfId="1" applyNumberFormat="1" applyFont="1" applyFill="1" applyBorder="1" applyAlignment="1">
      <alignment horizontal="center" vertical="top"/>
    </xf>
    <xf numFmtId="0" fontId="3" fillId="8" borderId="16" xfId="1" applyFont="1" applyFill="1" applyBorder="1" applyAlignment="1">
      <alignment vertical="top" wrapText="1"/>
    </xf>
    <xf numFmtId="0" fontId="3" fillId="8" borderId="24" xfId="0" applyFont="1" applyFill="1" applyBorder="1" applyAlignment="1">
      <alignment horizontal="center" vertical="top"/>
    </xf>
    <xf numFmtId="0" fontId="19" fillId="0" borderId="103" xfId="0" applyFont="1" applyFill="1" applyBorder="1" applyAlignment="1">
      <alignment horizontal="left" vertical="top" wrapText="1"/>
    </xf>
    <xf numFmtId="0" fontId="3" fillId="0" borderId="111" xfId="0" applyFont="1" applyFill="1" applyBorder="1" applyAlignment="1">
      <alignment horizontal="center" vertical="top" wrapText="1"/>
    </xf>
    <xf numFmtId="3" fontId="19" fillId="8" borderId="86" xfId="0" applyNumberFormat="1" applyFont="1" applyFill="1" applyBorder="1" applyAlignment="1">
      <alignment horizontal="center" vertical="top" wrapText="1"/>
    </xf>
    <xf numFmtId="0" fontId="3" fillId="8" borderId="86" xfId="0" applyFont="1" applyFill="1" applyBorder="1" applyAlignment="1">
      <alignment horizontal="center" vertical="top"/>
    </xf>
    <xf numFmtId="3" fontId="19" fillId="8" borderId="93" xfId="0" applyNumberFormat="1" applyFont="1" applyFill="1" applyBorder="1" applyAlignment="1">
      <alignment horizontal="center" vertical="top" wrapText="1"/>
    </xf>
    <xf numFmtId="3" fontId="19" fillId="8" borderId="50" xfId="0" applyNumberFormat="1" applyFont="1" applyFill="1" applyBorder="1" applyAlignment="1">
      <alignment horizontal="center" vertical="top" wrapText="1"/>
    </xf>
    <xf numFmtId="0" fontId="3" fillId="8" borderId="50" xfId="0" applyFont="1" applyFill="1" applyBorder="1" applyAlignment="1">
      <alignment horizontal="center" vertical="top"/>
    </xf>
    <xf numFmtId="3" fontId="19" fillId="8" borderId="19" xfId="0" applyNumberFormat="1" applyFont="1" applyFill="1" applyBorder="1" applyAlignment="1">
      <alignment horizontal="center" vertical="top" wrapText="1"/>
    </xf>
    <xf numFmtId="0" fontId="3" fillId="0" borderId="103" xfId="0" applyFont="1" applyFill="1" applyBorder="1" applyAlignment="1">
      <alignment vertical="top" wrapText="1"/>
    </xf>
    <xf numFmtId="3" fontId="3" fillId="0" borderId="108" xfId="0" applyNumberFormat="1" applyFont="1" applyFill="1" applyBorder="1" applyAlignment="1">
      <alignment horizontal="center" vertical="top" wrapText="1"/>
    </xf>
    <xf numFmtId="49" fontId="5" fillId="0" borderId="108" xfId="0" applyNumberFormat="1" applyFont="1" applyBorder="1" applyAlignment="1">
      <alignment horizontal="center" vertical="top"/>
    </xf>
    <xf numFmtId="0" fontId="3" fillId="0" borderId="81" xfId="0" applyNumberFormat="1" applyFont="1" applyBorder="1" applyAlignment="1">
      <alignment horizontal="center" vertical="top"/>
    </xf>
    <xf numFmtId="3" fontId="3" fillId="0" borderId="97" xfId="0" applyNumberFormat="1" applyFont="1" applyFill="1" applyBorder="1" applyAlignment="1">
      <alignment horizontal="center" vertical="top" wrapText="1"/>
    </xf>
    <xf numFmtId="3" fontId="3" fillId="0" borderId="98" xfId="0" applyNumberFormat="1" applyFont="1" applyFill="1" applyBorder="1" applyAlignment="1">
      <alignment horizontal="center" vertical="top" wrapText="1"/>
    </xf>
    <xf numFmtId="0" fontId="3" fillId="0" borderId="99" xfId="0" applyFont="1" applyBorder="1" applyAlignment="1">
      <alignment vertical="top" wrapText="1"/>
    </xf>
    <xf numFmtId="3" fontId="3" fillId="0" borderId="89" xfId="0" applyNumberFormat="1" applyFont="1" applyFill="1" applyBorder="1" applyAlignment="1">
      <alignment horizontal="center" vertical="top" wrapText="1"/>
    </xf>
    <xf numFmtId="0" fontId="3" fillId="0" borderId="89" xfId="0" applyNumberFormat="1" applyFont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 wrapText="1"/>
    </xf>
    <xf numFmtId="3" fontId="5" fillId="0" borderId="29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textRotation="90" wrapText="1"/>
    </xf>
    <xf numFmtId="49" fontId="5" fillId="0" borderId="19" xfId="0" applyNumberFormat="1" applyFont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49" fontId="9" fillId="8" borderId="85" xfId="0" applyNumberFormat="1" applyFont="1" applyFill="1" applyBorder="1" applyAlignment="1">
      <alignment horizontal="center" vertical="top" wrapText="1"/>
    </xf>
    <xf numFmtId="49" fontId="3" fillId="8" borderId="85" xfId="0" applyNumberFormat="1" applyFont="1" applyFill="1" applyBorder="1" applyAlignment="1">
      <alignment horizontal="center" vertical="top" wrapText="1"/>
    </xf>
    <xf numFmtId="49" fontId="3" fillId="8" borderId="93" xfId="0" applyNumberFormat="1" applyFont="1" applyFill="1" applyBorder="1" applyAlignment="1">
      <alignment horizontal="center" vertical="top" wrapText="1"/>
    </xf>
    <xf numFmtId="49" fontId="3" fillId="8" borderId="37" xfId="1" applyNumberFormat="1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49" fontId="9" fillId="8" borderId="93" xfId="0" applyNumberFormat="1" applyFont="1" applyFill="1" applyBorder="1" applyAlignment="1">
      <alignment horizontal="center" vertical="top" wrapText="1"/>
    </xf>
    <xf numFmtId="3" fontId="3" fillId="2" borderId="26" xfId="0" applyNumberFormat="1" applyFont="1" applyFill="1" applyBorder="1" applyAlignment="1">
      <alignment horizontal="center" vertical="top" wrapText="1"/>
    </xf>
    <xf numFmtId="3" fontId="3" fillId="0" borderId="17" xfId="1" applyNumberFormat="1" applyFont="1" applyFill="1" applyBorder="1" applyAlignment="1">
      <alignment horizontal="center" vertical="top"/>
    </xf>
    <xf numFmtId="4" fontId="3" fillId="2" borderId="17" xfId="0" applyNumberFormat="1" applyFont="1" applyFill="1" applyBorder="1" applyAlignment="1">
      <alignment horizontal="center" vertical="top"/>
    </xf>
    <xf numFmtId="4" fontId="3" fillId="2" borderId="19" xfId="0" applyNumberFormat="1" applyFont="1" applyFill="1" applyBorder="1" applyAlignment="1">
      <alignment horizontal="center" vertical="top"/>
    </xf>
    <xf numFmtId="0" fontId="3" fillId="0" borderId="70" xfId="0" applyFont="1" applyFill="1" applyBorder="1" applyAlignment="1">
      <alignment horizontal="center" vertical="center" textRotation="90" wrapText="1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5" fillId="0" borderId="5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0" fontId="3" fillId="0" borderId="70" xfId="0" applyFont="1" applyBorder="1" applyAlignment="1">
      <alignment horizontal="center" vertical="top"/>
    </xf>
    <xf numFmtId="49" fontId="5" fillId="13" borderId="16" xfId="0" applyNumberFormat="1" applyFont="1" applyFill="1" applyBorder="1" applyAlignment="1">
      <alignment horizontal="center" vertical="top"/>
    </xf>
    <xf numFmtId="49" fontId="5" fillId="3" borderId="2" xfId="0" applyNumberFormat="1" applyFont="1" applyFill="1" applyBorder="1" applyAlignment="1">
      <alignment horizontal="center" vertical="top"/>
    </xf>
    <xf numFmtId="3" fontId="3" fillId="0" borderId="24" xfId="0" applyNumberFormat="1" applyFont="1" applyFill="1" applyBorder="1" applyAlignment="1">
      <alignment horizontal="right" vertical="top" wrapText="1"/>
    </xf>
    <xf numFmtId="3" fontId="3" fillId="0" borderId="9" xfId="0" applyNumberFormat="1" applyFont="1" applyFill="1" applyBorder="1" applyAlignment="1">
      <alignment horizontal="right" vertical="top" wrapText="1"/>
    </xf>
    <xf numFmtId="3" fontId="3" fillId="8" borderId="9" xfId="0" applyNumberFormat="1" applyFont="1" applyFill="1" applyBorder="1" applyAlignment="1">
      <alignment horizontal="right" vertical="top" wrapText="1"/>
    </xf>
    <xf numFmtId="3" fontId="3" fillId="0" borderId="9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right" vertical="top" wrapText="1"/>
    </xf>
    <xf numFmtId="3" fontId="3" fillId="2" borderId="87" xfId="0" applyNumberFormat="1" applyFont="1" applyFill="1" applyBorder="1" applyAlignment="1">
      <alignment horizontal="right" vertical="top"/>
    </xf>
    <xf numFmtId="3" fontId="5" fillId="2" borderId="87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right" vertical="top"/>
    </xf>
    <xf numFmtId="3" fontId="5" fillId="2" borderId="9" xfId="0" applyNumberFormat="1" applyFont="1" applyFill="1" applyBorder="1" applyAlignment="1">
      <alignment horizontal="right" vertical="top"/>
    </xf>
    <xf numFmtId="3" fontId="3" fillId="2" borderId="111" xfId="0" applyNumberFormat="1" applyFont="1" applyFill="1" applyBorder="1" applyAlignment="1">
      <alignment horizontal="right" vertical="top"/>
    </xf>
    <xf numFmtId="3" fontId="5" fillId="2" borderId="111" xfId="0" applyNumberFormat="1" applyFont="1" applyFill="1" applyBorder="1" applyAlignment="1">
      <alignment horizontal="right" vertical="top"/>
    </xf>
    <xf numFmtId="3" fontId="3" fillId="2" borderId="24" xfId="0" applyNumberFormat="1" applyFont="1" applyFill="1" applyBorder="1" applyAlignment="1">
      <alignment horizontal="right" vertical="top"/>
    </xf>
    <xf numFmtId="3" fontId="5" fillId="2" borderId="24" xfId="0" applyNumberFormat="1" applyFont="1" applyFill="1" applyBorder="1" applyAlignment="1">
      <alignment horizontal="right" vertical="top"/>
    </xf>
    <xf numFmtId="3" fontId="3" fillId="2" borderId="23" xfId="0" applyNumberFormat="1" applyFont="1" applyFill="1" applyBorder="1" applyAlignment="1">
      <alignment horizontal="right" vertical="top"/>
    </xf>
    <xf numFmtId="3" fontId="3" fillId="8" borderId="23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 wrapText="1"/>
    </xf>
    <xf numFmtId="3" fontId="3" fillId="0" borderId="95" xfId="0" applyNumberFormat="1" applyFont="1" applyFill="1" applyBorder="1" applyAlignment="1">
      <alignment horizontal="right" vertical="top" wrapText="1"/>
    </xf>
    <xf numFmtId="3" fontId="3" fillId="0" borderId="95" xfId="0" applyNumberFormat="1" applyFont="1" applyFill="1" applyBorder="1" applyAlignment="1">
      <alignment horizontal="right" vertical="top"/>
    </xf>
    <xf numFmtId="3" fontId="3" fillId="2" borderId="92" xfId="0" applyNumberFormat="1" applyFont="1" applyFill="1" applyBorder="1" applyAlignment="1">
      <alignment horizontal="right" vertical="top" wrapText="1"/>
    </xf>
    <xf numFmtId="3" fontId="3" fillId="0" borderId="24" xfId="0" applyNumberFormat="1" applyFont="1" applyFill="1" applyBorder="1" applyAlignment="1">
      <alignment horizontal="right" vertical="top"/>
    </xf>
    <xf numFmtId="3" fontId="3" fillId="2" borderId="24" xfId="0" applyNumberFormat="1" applyFont="1" applyFill="1" applyBorder="1" applyAlignment="1">
      <alignment horizontal="right" vertical="top" wrapText="1"/>
    </xf>
    <xf numFmtId="3" fontId="3" fillId="2" borderId="55" xfId="0" applyNumberFormat="1" applyFont="1" applyFill="1" applyBorder="1" applyAlignment="1">
      <alignment horizontal="right" vertical="top" wrapText="1"/>
    </xf>
    <xf numFmtId="3" fontId="3" fillId="0" borderId="53" xfId="0" applyNumberFormat="1" applyFont="1" applyFill="1" applyBorder="1" applyAlignment="1">
      <alignment horizontal="right" vertical="top" wrapText="1"/>
    </xf>
    <xf numFmtId="3" fontId="3" fillId="0" borderId="40" xfId="0" applyNumberFormat="1" applyFont="1" applyFill="1" applyBorder="1" applyAlignment="1">
      <alignment horizontal="right" vertical="top" wrapText="1"/>
    </xf>
    <xf numFmtId="3" fontId="3" fillId="0" borderId="40" xfId="0" applyNumberFormat="1" applyFont="1" applyFill="1" applyBorder="1" applyAlignment="1">
      <alignment horizontal="right" vertical="top"/>
    </xf>
    <xf numFmtId="3" fontId="3" fillId="0" borderId="83" xfId="0" applyNumberFormat="1" applyFont="1" applyFill="1" applyBorder="1" applyAlignment="1">
      <alignment horizontal="right" vertical="top"/>
    </xf>
    <xf numFmtId="3" fontId="3" fillId="0" borderId="94" xfId="0" applyNumberFormat="1" applyFont="1" applyFill="1" applyBorder="1" applyAlignment="1">
      <alignment horizontal="right" vertical="top"/>
    </xf>
    <xf numFmtId="3" fontId="3" fillId="0" borderId="109" xfId="0" applyNumberFormat="1" applyFont="1" applyFill="1" applyBorder="1" applyAlignment="1">
      <alignment horizontal="right" vertical="top"/>
    </xf>
    <xf numFmtId="3" fontId="3" fillId="0" borderId="114" xfId="0" applyNumberFormat="1" applyFont="1" applyFill="1" applyBorder="1" applyAlignment="1">
      <alignment horizontal="right" vertical="top"/>
    </xf>
    <xf numFmtId="3" fontId="3" fillId="0" borderId="111" xfId="0" applyNumberFormat="1" applyFont="1" applyFill="1" applyBorder="1" applyAlignment="1">
      <alignment horizontal="right" vertical="top"/>
    </xf>
    <xf numFmtId="3" fontId="3" fillId="0" borderId="105" xfId="0" applyNumberFormat="1" applyFont="1" applyFill="1" applyBorder="1" applyAlignment="1">
      <alignment horizontal="right" vertical="top"/>
    </xf>
    <xf numFmtId="3" fontId="5" fillId="0" borderId="94" xfId="0" applyNumberFormat="1" applyFont="1" applyFill="1" applyBorder="1" applyAlignment="1">
      <alignment horizontal="right" vertical="top"/>
    </xf>
    <xf numFmtId="3" fontId="5" fillId="0" borderId="95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 wrapText="1"/>
    </xf>
    <xf numFmtId="3" fontId="3" fillId="8" borderId="49" xfId="0" applyNumberFormat="1" applyFont="1" applyFill="1" applyBorder="1" applyAlignment="1">
      <alignment horizontal="right" vertical="top" wrapText="1"/>
    </xf>
    <xf numFmtId="3" fontId="3" fillId="8" borderId="24" xfId="0" applyNumberFormat="1" applyFont="1" applyFill="1" applyBorder="1" applyAlignment="1">
      <alignment horizontal="right" vertical="top" wrapText="1"/>
    </xf>
    <xf numFmtId="3" fontId="3" fillId="0" borderId="43" xfId="0" applyNumberFormat="1" applyFont="1" applyFill="1" applyBorder="1" applyAlignment="1">
      <alignment horizontal="right" vertical="top" wrapText="1"/>
    </xf>
    <xf numFmtId="3" fontId="3" fillId="0" borderId="23" xfId="0" applyNumberFormat="1" applyFont="1" applyFill="1" applyBorder="1" applyAlignment="1">
      <alignment horizontal="right" vertical="top" wrapText="1"/>
    </xf>
    <xf numFmtId="3" fontId="3" fillId="2" borderId="46" xfId="0" applyNumberFormat="1" applyFont="1" applyFill="1" applyBorder="1" applyAlignment="1">
      <alignment horizontal="right" vertical="top" wrapText="1"/>
    </xf>
    <xf numFmtId="3" fontId="3" fillId="2" borderId="54" xfId="0" applyNumberFormat="1" applyFont="1" applyFill="1" applyBorder="1" applyAlignment="1">
      <alignment horizontal="right" vertical="top" wrapText="1"/>
    </xf>
    <xf numFmtId="3" fontId="3" fillId="2" borderId="53" xfId="0" applyNumberFormat="1" applyFont="1" applyFill="1" applyBorder="1" applyAlignment="1">
      <alignment horizontal="right" vertical="top" wrapText="1"/>
    </xf>
    <xf numFmtId="3" fontId="5" fillId="10" borderId="61" xfId="0" applyNumberFormat="1" applyFont="1" applyFill="1" applyBorder="1" applyAlignment="1">
      <alignment horizontal="right" vertical="top"/>
    </xf>
    <xf numFmtId="3" fontId="5" fillId="10" borderId="59" xfId="0" applyNumberFormat="1" applyFont="1" applyFill="1" applyBorder="1" applyAlignment="1">
      <alignment horizontal="right" vertical="top"/>
    </xf>
    <xf numFmtId="3" fontId="3" fillId="2" borderId="41" xfId="0" applyNumberFormat="1" applyFont="1" applyFill="1" applyBorder="1" applyAlignment="1">
      <alignment horizontal="right" vertical="top" wrapText="1"/>
    </xf>
    <xf numFmtId="3" fontId="3" fillId="2" borderId="44" xfId="0" applyNumberFormat="1" applyFont="1" applyFill="1" applyBorder="1" applyAlignment="1">
      <alignment horizontal="right" vertical="top" wrapText="1"/>
    </xf>
    <xf numFmtId="3" fontId="5" fillId="10" borderId="67" xfId="0" applyNumberFormat="1" applyFont="1" applyFill="1" applyBorder="1" applyAlignment="1">
      <alignment horizontal="right" vertical="top"/>
    </xf>
    <xf numFmtId="3" fontId="3" fillId="2" borderId="23" xfId="0" applyNumberFormat="1" applyFont="1" applyFill="1" applyBorder="1" applyAlignment="1">
      <alignment horizontal="right" vertical="top" wrapText="1"/>
    </xf>
    <xf numFmtId="3" fontId="3" fillId="0" borderId="44" xfId="0" applyNumberFormat="1" applyFont="1" applyFill="1" applyBorder="1" applyAlignment="1">
      <alignment horizontal="right" vertical="top" wrapText="1"/>
    </xf>
    <xf numFmtId="3" fontId="5" fillId="8" borderId="9" xfId="0" applyNumberFormat="1" applyFont="1" applyFill="1" applyBorder="1" applyAlignment="1">
      <alignment horizontal="right" vertical="top"/>
    </xf>
    <xf numFmtId="3" fontId="5" fillId="8" borderId="0" xfId="0" applyNumberFormat="1" applyFont="1" applyFill="1" applyBorder="1" applyAlignment="1">
      <alignment horizontal="right" vertical="top"/>
    </xf>
    <xf numFmtId="3" fontId="5" fillId="3" borderId="25" xfId="0" applyNumberFormat="1" applyFont="1" applyFill="1" applyBorder="1" applyAlignment="1">
      <alignment horizontal="right" vertical="top"/>
    </xf>
    <xf numFmtId="0" fontId="5" fillId="10" borderId="61" xfId="0" applyFont="1" applyFill="1" applyBorder="1" applyAlignment="1">
      <alignment vertical="center"/>
    </xf>
    <xf numFmtId="3" fontId="3" fillId="0" borderId="46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9" xfId="0" applyNumberFormat="1" applyFont="1" applyFill="1" applyBorder="1" applyAlignment="1">
      <alignment horizontal="right" wrapText="1"/>
    </xf>
    <xf numFmtId="3" fontId="3" fillId="2" borderId="9" xfId="0" applyNumberFormat="1" applyFont="1" applyFill="1" applyBorder="1" applyAlignment="1">
      <alignment horizontal="right" wrapText="1"/>
    </xf>
    <xf numFmtId="3" fontId="5" fillId="10" borderId="64" xfId="0" applyNumberFormat="1" applyFont="1" applyFill="1" applyBorder="1" applyAlignment="1">
      <alignment horizontal="right" vertical="top"/>
    </xf>
    <xf numFmtId="3" fontId="5" fillId="3" borderId="22" xfId="0" applyNumberFormat="1" applyFont="1" applyFill="1" applyBorder="1" applyAlignment="1">
      <alignment horizontal="right" vertical="top"/>
    </xf>
    <xf numFmtId="3" fontId="5" fillId="10" borderId="66" xfId="0" applyNumberFormat="1" applyFont="1" applyFill="1" applyBorder="1" applyAlignment="1">
      <alignment horizontal="right" vertical="top"/>
    </xf>
    <xf numFmtId="3" fontId="5" fillId="10" borderId="36" xfId="0" applyNumberFormat="1" applyFont="1" applyFill="1" applyBorder="1" applyAlignment="1">
      <alignment horizontal="right" vertical="top"/>
    </xf>
    <xf numFmtId="3" fontId="5" fillId="5" borderId="7" xfId="0" applyNumberFormat="1" applyFont="1" applyFill="1" applyBorder="1" applyAlignment="1">
      <alignment horizontal="right" vertical="top"/>
    </xf>
    <xf numFmtId="3" fontId="3" fillId="0" borderId="24" xfId="0" applyNumberFormat="1" applyFont="1" applyBorder="1" applyAlignment="1">
      <alignment horizontal="right" vertical="top"/>
    </xf>
    <xf numFmtId="3" fontId="5" fillId="5" borderId="24" xfId="0" applyNumberFormat="1" applyFont="1" applyFill="1" applyBorder="1" applyAlignment="1">
      <alignment horizontal="right" vertical="top"/>
    </xf>
    <xf numFmtId="3" fontId="5" fillId="6" borderId="66" xfId="0" applyNumberFormat="1" applyFont="1" applyFill="1" applyBorder="1" applyAlignment="1">
      <alignment horizontal="right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2" borderId="6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8" borderId="86" xfId="0" applyFont="1" applyFill="1" applyBorder="1" applyAlignment="1">
      <alignment horizontal="left" vertical="top" wrapText="1"/>
    </xf>
    <xf numFmtId="0" fontId="3" fillId="8" borderId="110" xfId="0" applyFont="1" applyFill="1" applyBorder="1" applyAlignment="1">
      <alignment vertical="top" wrapText="1"/>
    </xf>
    <xf numFmtId="0" fontId="3" fillId="8" borderId="86" xfId="0" applyFont="1" applyFill="1" applyBorder="1" applyAlignment="1">
      <alignment vertical="top" wrapText="1"/>
    </xf>
    <xf numFmtId="0" fontId="3" fillId="8" borderId="113" xfId="0" applyFont="1" applyFill="1" applyBorder="1" applyAlignment="1">
      <alignment vertical="top" wrapText="1"/>
    </xf>
    <xf numFmtId="0" fontId="3" fillId="0" borderId="84" xfId="0" applyFont="1" applyFill="1" applyBorder="1" applyAlignment="1">
      <alignment horizontal="center" vertical="center" textRotation="90" wrapText="1"/>
    </xf>
    <xf numFmtId="49" fontId="5" fillId="0" borderId="93" xfId="0" applyNumberFormat="1" applyFont="1" applyBorder="1" applyAlignment="1">
      <alignment horizontal="center" vertical="top"/>
    </xf>
    <xf numFmtId="0" fontId="3" fillId="0" borderId="103" xfId="0" applyFont="1" applyFill="1" applyBorder="1" applyAlignment="1">
      <alignment horizontal="center" vertical="center" textRotation="90" wrapText="1"/>
    </xf>
    <xf numFmtId="0" fontId="3" fillId="0" borderId="104" xfId="0" applyFont="1" applyFill="1" applyBorder="1" applyAlignment="1">
      <alignment horizontal="center" vertical="center" textRotation="90" wrapText="1"/>
    </xf>
    <xf numFmtId="49" fontId="5" fillId="0" borderId="82" xfId="0" applyNumberFormat="1" applyFont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center" textRotation="90" wrapText="1"/>
    </xf>
    <xf numFmtId="0" fontId="2" fillId="0" borderId="10" xfId="0" applyFont="1" applyBorder="1" applyAlignment="1">
      <alignment textRotation="90"/>
    </xf>
    <xf numFmtId="49" fontId="3" fillId="0" borderId="9" xfId="0" applyNumberFormat="1" applyFont="1" applyFill="1" applyBorder="1" applyAlignment="1">
      <alignment horizontal="center" vertical="top"/>
    </xf>
    <xf numFmtId="0" fontId="3" fillId="8" borderId="18" xfId="0" applyFont="1" applyFill="1" applyBorder="1" applyAlignment="1">
      <alignment horizontal="left" vertical="top" wrapText="1"/>
    </xf>
    <xf numFmtId="165" fontId="3" fillId="2" borderId="31" xfId="0" applyNumberFormat="1" applyFont="1" applyFill="1" applyBorder="1" applyAlignment="1">
      <alignment horizontal="left" vertical="top" wrapText="1"/>
    </xf>
    <xf numFmtId="0" fontId="3" fillId="0" borderId="34" xfId="0" applyNumberFormat="1" applyFont="1" applyFill="1" applyBorder="1" applyAlignment="1">
      <alignment horizontal="center" vertical="top"/>
    </xf>
    <xf numFmtId="0" fontId="3" fillId="0" borderId="49" xfId="0" applyNumberFormat="1" applyFont="1" applyFill="1" applyBorder="1" applyAlignment="1">
      <alignment horizontal="center" vertical="top"/>
    </xf>
    <xf numFmtId="0" fontId="3" fillId="0" borderId="98" xfId="0" applyFont="1" applyBorder="1" applyAlignment="1">
      <alignment vertical="top" wrapText="1"/>
    </xf>
    <xf numFmtId="0" fontId="2" fillId="0" borderId="96" xfId="0" applyFont="1" applyBorder="1" applyAlignment="1">
      <alignment textRotation="90"/>
    </xf>
    <xf numFmtId="0" fontId="0" fillId="0" borderId="32" xfId="0" applyBorder="1" applyAlignment="1">
      <alignment horizontal="center" vertical="top"/>
    </xf>
    <xf numFmtId="49" fontId="3" fillId="0" borderId="95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3" fontId="3" fillId="10" borderId="70" xfId="0" applyNumberFormat="1" applyFont="1" applyFill="1" applyBorder="1" applyAlignment="1">
      <alignment horizontal="right" vertical="top"/>
    </xf>
    <xf numFmtId="3" fontId="3" fillId="10" borderId="40" xfId="0" applyNumberFormat="1" applyFont="1" applyFill="1" applyBorder="1" applyAlignment="1">
      <alignment horizontal="right" vertical="top"/>
    </xf>
    <xf numFmtId="3" fontId="3" fillId="10" borderId="40" xfId="0" applyNumberFormat="1" applyFont="1" applyFill="1" applyBorder="1" applyAlignment="1">
      <alignment horizontal="right" vertical="top" wrapText="1"/>
    </xf>
    <xf numFmtId="3" fontId="3" fillId="10" borderId="99" xfId="0" applyNumberFormat="1" applyFont="1" applyFill="1" applyBorder="1" applyAlignment="1">
      <alignment horizontal="right" vertical="top"/>
    </xf>
    <xf numFmtId="3" fontId="3" fillId="10" borderId="105" xfId="0" applyNumberFormat="1" applyFont="1" applyFill="1" applyBorder="1" applyAlignment="1">
      <alignment horizontal="right" vertical="top"/>
    </xf>
    <xf numFmtId="3" fontId="3" fillId="10" borderId="76" xfId="0" applyNumberFormat="1" applyFont="1" applyFill="1" applyBorder="1" applyAlignment="1">
      <alignment horizontal="right" vertical="top"/>
    </xf>
    <xf numFmtId="3" fontId="5" fillId="2" borderId="23" xfId="0" applyNumberFormat="1" applyFont="1" applyFill="1" applyBorder="1" applyAlignment="1">
      <alignment horizontal="right" vertical="top"/>
    </xf>
    <xf numFmtId="3" fontId="3" fillId="10" borderId="76" xfId="0" applyNumberFormat="1" applyFont="1" applyFill="1" applyBorder="1" applyAlignment="1">
      <alignment horizontal="right" vertical="top" wrapText="1"/>
    </xf>
    <xf numFmtId="3" fontId="3" fillId="10" borderId="57" xfId="0" applyNumberFormat="1" applyFont="1" applyFill="1" applyBorder="1" applyAlignment="1">
      <alignment horizontal="right" vertical="top"/>
    </xf>
    <xf numFmtId="3" fontId="3" fillId="10" borderId="83" xfId="0" applyNumberFormat="1" applyFont="1" applyFill="1" applyBorder="1" applyAlignment="1">
      <alignment horizontal="right" vertical="top"/>
    </xf>
    <xf numFmtId="3" fontId="3" fillId="0" borderId="83" xfId="0" applyNumberFormat="1" applyFont="1" applyFill="1" applyBorder="1" applyAlignment="1">
      <alignment horizontal="right" vertical="top" wrapText="1"/>
    </xf>
    <xf numFmtId="3" fontId="3" fillId="10" borderId="0" xfId="0" applyNumberFormat="1" applyFont="1" applyFill="1" applyBorder="1" applyAlignment="1">
      <alignment horizontal="right" vertical="top"/>
    </xf>
    <xf numFmtId="3" fontId="5" fillId="10" borderId="30" xfId="0" applyNumberFormat="1" applyFont="1" applyFill="1" applyBorder="1" applyAlignment="1">
      <alignment horizontal="right" vertical="top"/>
    </xf>
    <xf numFmtId="3" fontId="3" fillId="10" borderId="70" xfId="0" applyNumberFormat="1" applyFont="1" applyFill="1" applyBorder="1" applyAlignment="1">
      <alignment horizontal="right" vertical="top" wrapText="1"/>
    </xf>
    <xf numFmtId="3" fontId="3" fillId="10" borderId="94" xfId="0" applyNumberFormat="1" applyFont="1" applyFill="1" applyBorder="1" applyAlignment="1">
      <alignment horizontal="right" vertical="top" wrapText="1"/>
    </xf>
    <xf numFmtId="3" fontId="5" fillId="10" borderId="0" xfId="0" applyNumberFormat="1" applyFont="1" applyFill="1" applyBorder="1" applyAlignment="1">
      <alignment horizontal="right" vertical="top"/>
    </xf>
    <xf numFmtId="3" fontId="5" fillId="10" borderId="9" xfId="0" applyNumberFormat="1" applyFont="1" applyFill="1" applyBorder="1" applyAlignment="1">
      <alignment horizontal="right" vertical="top"/>
    </xf>
    <xf numFmtId="3" fontId="3" fillId="10" borderId="46" xfId="0" applyNumberFormat="1" applyFont="1" applyFill="1" applyBorder="1" applyAlignment="1">
      <alignment horizontal="right" vertical="top" wrapText="1"/>
    </xf>
    <xf numFmtId="3" fontId="3" fillId="8" borderId="46" xfId="0" applyNumberFormat="1" applyFont="1" applyFill="1" applyBorder="1" applyAlignment="1">
      <alignment horizontal="right" vertical="top" wrapText="1"/>
    </xf>
    <xf numFmtId="3" fontId="3" fillId="8" borderId="77" xfId="0" applyNumberFormat="1" applyFont="1" applyFill="1" applyBorder="1" applyAlignment="1">
      <alignment horizontal="right" vertical="top" wrapText="1"/>
    </xf>
    <xf numFmtId="3" fontId="3" fillId="10" borderId="6" xfId="0" applyNumberFormat="1" applyFont="1" applyFill="1" applyBorder="1" applyAlignment="1">
      <alignment horizontal="right" vertical="top" wrapText="1"/>
    </xf>
    <xf numFmtId="3" fontId="3" fillId="8" borderId="6" xfId="0" applyNumberFormat="1" applyFont="1" applyFill="1" applyBorder="1" applyAlignment="1">
      <alignment horizontal="right" vertical="top" wrapText="1"/>
    </xf>
    <xf numFmtId="3" fontId="3" fillId="8" borderId="57" xfId="0" applyNumberFormat="1" applyFont="1" applyFill="1" applyBorder="1" applyAlignment="1">
      <alignment horizontal="right" vertical="top" wrapText="1"/>
    </xf>
    <xf numFmtId="3" fontId="3" fillId="10" borderId="24" xfId="0" applyNumberFormat="1" applyFont="1" applyFill="1" applyBorder="1" applyAlignment="1">
      <alignment horizontal="right" vertical="top" wrapText="1"/>
    </xf>
    <xf numFmtId="3" fontId="3" fillId="10" borderId="24" xfId="0" applyNumberFormat="1" applyFont="1" applyFill="1" applyBorder="1" applyAlignment="1">
      <alignment horizontal="right" vertical="top"/>
    </xf>
    <xf numFmtId="3" fontId="3" fillId="10" borderId="9" xfId="0" applyNumberFormat="1" applyFont="1" applyFill="1" applyBorder="1" applyAlignment="1">
      <alignment horizontal="right" vertical="top" wrapText="1"/>
    </xf>
    <xf numFmtId="3" fontId="36" fillId="10" borderId="83" xfId="0" applyNumberFormat="1" applyFont="1" applyFill="1" applyBorder="1" applyAlignment="1">
      <alignment horizontal="right" vertical="top" wrapText="1"/>
    </xf>
    <xf numFmtId="3" fontId="36" fillId="10" borderId="109" xfId="0" applyNumberFormat="1" applyFont="1" applyFill="1" applyBorder="1" applyAlignment="1">
      <alignment horizontal="right" vertical="top" wrapText="1"/>
    </xf>
    <xf numFmtId="3" fontId="36" fillId="10" borderId="9" xfId="0" applyNumberFormat="1" applyFont="1" applyFill="1" applyBorder="1" applyAlignment="1">
      <alignment horizontal="right" vertical="top" wrapText="1"/>
    </xf>
    <xf numFmtId="3" fontId="36" fillId="10" borderId="111" xfId="0" applyNumberFormat="1" applyFont="1" applyFill="1" applyBorder="1" applyAlignment="1">
      <alignment horizontal="right" vertical="top" wrapText="1"/>
    </xf>
    <xf numFmtId="3" fontId="36" fillId="10" borderId="95" xfId="0" applyNumberFormat="1" applyFont="1" applyFill="1" applyBorder="1" applyAlignment="1">
      <alignment horizontal="right" vertical="top" wrapText="1"/>
    </xf>
    <xf numFmtId="3" fontId="5" fillId="10" borderId="35" xfId="0" applyNumberFormat="1" applyFont="1" applyFill="1" applyBorder="1" applyAlignment="1">
      <alignment horizontal="right" vertical="top"/>
    </xf>
    <xf numFmtId="3" fontId="3" fillId="10" borderId="41" xfId="0" applyNumberFormat="1" applyFont="1" applyFill="1" applyBorder="1" applyAlignment="1">
      <alignment horizontal="right" vertical="top" wrapText="1"/>
    </xf>
    <xf numFmtId="3" fontId="3" fillId="10" borderId="49" xfId="0" applyNumberFormat="1" applyFont="1" applyFill="1" applyBorder="1" applyAlignment="1">
      <alignment horizontal="right" vertical="top" wrapText="1"/>
    </xf>
    <xf numFmtId="3" fontId="3" fillId="10" borderId="78" xfId="0" applyNumberFormat="1" applyFont="1" applyFill="1" applyBorder="1" applyAlignment="1">
      <alignment horizontal="right" vertical="top" wrapText="1"/>
    </xf>
    <xf numFmtId="3" fontId="5" fillId="10" borderId="73" xfId="0" applyNumberFormat="1" applyFont="1" applyFill="1" applyBorder="1" applyAlignment="1">
      <alignment horizontal="right" vertical="top"/>
    </xf>
    <xf numFmtId="3" fontId="3" fillId="1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65" xfId="0" applyNumberFormat="1" applyFont="1" applyFill="1" applyBorder="1" applyAlignment="1">
      <alignment horizontal="right" vertical="top"/>
    </xf>
    <xf numFmtId="3" fontId="3" fillId="0" borderId="49" xfId="0" applyNumberFormat="1" applyFont="1" applyFill="1" applyBorder="1" applyAlignment="1">
      <alignment horizontal="right" vertical="top"/>
    </xf>
    <xf numFmtId="3" fontId="3" fillId="0" borderId="99" xfId="0" applyNumberFormat="1" applyFont="1" applyFill="1" applyBorder="1" applyAlignment="1">
      <alignment horizontal="right" vertical="top"/>
    </xf>
    <xf numFmtId="3" fontId="3" fillId="10" borderId="95" xfId="0" applyNumberFormat="1" applyFont="1" applyFill="1" applyBorder="1" applyAlignment="1">
      <alignment horizontal="right" vertical="top"/>
    </xf>
    <xf numFmtId="3" fontId="3" fillId="10" borderId="9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10" borderId="23" xfId="0" applyNumberFormat="1" applyFont="1" applyFill="1" applyBorder="1" applyAlignment="1">
      <alignment horizontal="right" vertical="top"/>
    </xf>
    <xf numFmtId="3" fontId="3" fillId="10" borderId="23" xfId="0" applyNumberFormat="1" applyFont="1" applyFill="1" applyBorder="1" applyAlignment="1">
      <alignment horizontal="right" vertical="top" wrapText="1"/>
    </xf>
    <xf numFmtId="3" fontId="3" fillId="10" borderId="7" xfId="0" applyNumberFormat="1" applyFont="1" applyFill="1" applyBorder="1" applyAlignment="1">
      <alignment horizontal="right" vertical="top" wrapText="1"/>
    </xf>
    <xf numFmtId="3" fontId="3" fillId="8" borderId="7" xfId="0" applyNumberFormat="1" applyFont="1" applyFill="1" applyBorder="1" applyAlignment="1">
      <alignment horizontal="right" vertical="top" wrapText="1"/>
    </xf>
    <xf numFmtId="0" fontId="3" fillId="0" borderId="34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89" xfId="0" applyFont="1" applyBorder="1" applyAlignment="1">
      <alignment horizontal="center" vertical="top"/>
    </xf>
    <xf numFmtId="0" fontId="3" fillId="0" borderId="81" xfId="0" applyFont="1" applyBorder="1" applyAlignment="1">
      <alignment horizontal="center" vertical="top"/>
    </xf>
    <xf numFmtId="49" fontId="3" fillId="8" borderId="18" xfId="0" applyNumberFormat="1" applyFont="1" applyFill="1" applyBorder="1" applyAlignment="1">
      <alignment horizontal="center" vertical="top" wrapText="1"/>
    </xf>
    <xf numFmtId="3" fontId="3" fillId="8" borderId="19" xfId="0" applyNumberFormat="1" applyFont="1" applyFill="1" applyBorder="1" applyAlignment="1">
      <alignment horizontal="center" vertical="top" wrapText="1"/>
    </xf>
    <xf numFmtId="3" fontId="3" fillId="8" borderId="18" xfId="0" applyNumberFormat="1" applyFont="1" applyFill="1" applyBorder="1" applyAlignment="1">
      <alignment horizontal="center" vertical="top" wrapText="1"/>
    </xf>
    <xf numFmtId="3" fontId="3" fillId="8" borderId="26" xfId="1" applyNumberFormat="1" applyFont="1" applyFill="1" applyBorder="1" applyAlignment="1">
      <alignment horizontal="center" vertical="top"/>
    </xf>
    <xf numFmtId="3" fontId="3" fillId="8" borderId="26" xfId="0" applyNumberFormat="1" applyFont="1" applyFill="1" applyBorder="1" applyAlignment="1">
      <alignment horizontal="center" vertical="top" wrapText="1"/>
    </xf>
    <xf numFmtId="3" fontId="3" fillId="8" borderId="27" xfId="0" applyNumberFormat="1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62" xfId="0" applyFont="1" applyBorder="1" applyAlignment="1">
      <alignment horizontal="center" vertical="top"/>
    </xf>
    <xf numFmtId="3" fontId="3" fillId="10" borderId="46" xfId="0" applyNumberFormat="1" applyFont="1" applyFill="1" applyBorder="1" applyAlignment="1">
      <alignment horizontal="right"/>
    </xf>
    <xf numFmtId="3" fontId="3" fillId="10" borderId="6" xfId="0" applyNumberFormat="1" applyFont="1" applyFill="1" applyBorder="1" applyAlignment="1">
      <alignment horizontal="right"/>
    </xf>
    <xf numFmtId="3" fontId="3" fillId="10" borderId="9" xfId="0" applyNumberFormat="1" applyFont="1" applyFill="1" applyBorder="1" applyAlignment="1">
      <alignment horizontal="right"/>
    </xf>
    <xf numFmtId="3" fontId="5" fillId="12" borderId="68" xfId="0" applyNumberFormat="1" applyFont="1" applyFill="1" applyBorder="1" applyAlignment="1">
      <alignment horizontal="right" vertical="top"/>
    </xf>
    <xf numFmtId="3" fontId="5" fillId="12" borderId="25" xfId="0" applyNumberFormat="1" applyFont="1" applyFill="1" applyBorder="1" applyAlignment="1">
      <alignment horizontal="right" vertical="top"/>
    </xf>
    <xf numFmtId="3" fontId="5" fillId="10" borderId="67" xfId="0" applyNumberFormat="1" applyFont="1" applyFill="1" applyBorder="1" applyAlignment="1">
      <alignment horizontal="right" vertical="center"/>
    </xf>
    <xf numFmtId="3" fontId="5" fillId="10" borderId="61" xfId="0" applyNumberFormat="1" applyFont="1" applyFill="1" applyBorder="1" applyAlignment="1">
      <alignment horizontal="right" vertical="center"/>
    </xf>
    <xf numFmtId="3" fontId="5" fillId="10" borderId="64" xfId="0" applyNumberFormat="1" applyFont="1" applyFill="1" applyBorder="1" applyAlignment="1">
      <alignment horizontal="right" vertical="center"/>
    </xf>
    <xf numFmtId="3" fontId="5" fillId="3" borderId="68" xfId="0" applyNumberFormat="1" applyFont="1" applyFill="1" applyBorder="1" applyAlignment="1">
      <alignment horizontal="right" vertical="center"/>
    </xf>
    <xf numFmtId="3" fontId="5" fillId="3" borderId="25" xfId="0" applyNumberFormat="1" applyFont="1" applyFill="1" applyBorder="1" applyAlignment="1">
      <alignment horizontal="right" vertical="center"/>
    </xf>
    <xf numFmtId="166" fontId="3" fillId="0" borderId="28" xfId="0" applyNumberFormat="1" applyFont="1" applyFill="1" applyBorder="1" applyAlignment="1">
      <alignment horizontal="center" vertical="top"/>
    </xf>
    <xf numFmtId="166" fontId="3" fillId="0" borderId="29" xfId="0" applyNumberFormat="1" applyFont="1" applyFill="1" applyBorder="1" applyAlignment="1">
      <alignment horizontal="center" vertical="top"/>
    </xf>
    <xf numFmtId="166" fontId="3" fillId="0" borderId="17" xfId="0" applyNumberFormat="1" applyFont="1" applyFill="1" applyBorder="1" applyAlignment="1">
      <alignment horizontal="center" vertical="top" textRotation="90"/>
    </xf>
    <xf numFmtId="3" fontId="3" fillId="8" borderId="78" xfId="0" applyNumberFormat="1" applyFont="1" applyFill="1" applyBorder="1" applyAlignment="1">
      <alignment horizontal="right" vertical="top" wrapText="1"/>
    </xf>
    <xf numFmtId="3" fontId="5" fillId="3" borderId="68" xfId="0" applyNumberFormat="1" applyFont="1" applyFill="1" applyBorder="1" applyAlignment="1">
      <alignment horizontal="right" vertical="top"/>
    </xf>
    <xf numFmtId="3" fontId="5" fillId="13" borderId="25" xfId="0" applyNumberFormat="1" applyFont="1" applyFill="1" applyBorder="1" applyAlignment="1">
      <alignment horizontal="right" vertical="top"/>
    </xf>
    <xf numFmtId="3" fontId="5" fillId="5" borderId="25" xfId="0" applyNumberFormat="1" applyFont="1" applyFill="1" applyBorder="1" applyAlignment="1">
      <alignment horizontal="right"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26" xfId="0" applyNumberFormat="1" applyFont="1" applyFill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49" fontId="5" fillId="13" borderId="10" xfId="0" applyNumberFormat="1" applyFont="1" applyFill="1" applyBorder="1" applyAlignment="1">
      <alignment horizontal="center" vertical="top"/>
    </xf>
    <xf numFmtId="49" fontId="5" fillId="13" borderId="11" xfId="0" applyNumberFormat="1" applyFont="1" applyFill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3" fillId="8" borderId="66" xfId="0" applyFont="1" applyFill="1" applyBorder="1" applyAlignment="1">
      <alignment horizontal="center" vertical="top"/>
    </xf>
    <xf numFmtId="3" fontId="3" fillId="10" borderId="66" xfId="0" applyNumberFormat="1" applyFont="1" applyFill="1" applyBorder="1" applyAlignment="1">
      <alignment horizontal="right" vertical="top"/>
    </xf>
    <xf numFmtId="3" fontId="5" fillId="8" borderId="66" xfId="0" applyNumberFormat="1" applyFont="1" applyFill="1" applyBorder="1" applyAlignment="1">
      <alignment horizontal="right" vertical="top"/>
    </xf>
    <xf numFmtId="3" fontId="5" fillId="8" borderId="35" xfId="0" applyNumberFormat="1" applyFont="1" applyFill="1" applyBorder="1" applyAlignment="1">
      <alignment horizontal="right" vertical="top"/>
    </xf>
    <xf numFmtId="3" fontId="3" fillId="8" borderId="28" xfId="0" applyNumberFormat="1" applyFont="1" applyFill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vertical="top" wrapText="1"/>
    </xf>
    <xf numFmtId="49" fontId="5" fillId="0" borderId="33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top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49" fontId="5" fillId="13" borderId="11" xfId="0" applyNumberFormat="1" applyFont="1" applyFill="1" applyBorder="1" applyAlignment="1">
      <alignment horizontal="center" vertical="top" wrapText="1"/>
    </xf>
    <xf numFmtId="49" fontId="5" fillId="0" borderId="62" xfId="0" applyNumberFormat="1" applyFont="1" applyFill="1" applyBorder="1" applyAlignment="1">
      <alignment horizontal="center" vertical="top" wrapText="1"/>
    </xf>
    <xf numFmtId="49" fontId="5" fillId="0" borderId="27" xfId="0" applyNumberFormat="1" applyFont="1" applyBorder="1" applyAlignment="1">
      <alignment horizontal="center" vertical="top" wrapText="1"/>
    </xf>
    <xf numFmtId="49" fontId="5" fillId="0" borderId="98" xfId="0" applyNumberFormat="1" applyFont="1" applyBorder="1" applyAlignment="1">
      <alignment horizontal="center" vertical="top"/>
    </xf>
    <xf numFmtId="0" fontId="3" fillId="0" borderId="96" xfId="0" applyFont="1" applyFill="1" applyBorder="1" applyAlignment="1">
      <alignment horizontal="center" vertical="center" textRotation="90" wrapText="1"/>
    </xf>
    <xf numFmtId="0" fontId="3" fillId="8" borderId="33" xfId="0" applyFont="1" applyFill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/>
    </xf>
    <xf numFmtId="0" fontId="3" fillId="2" borderId="110" xfId="0" applyFont="1" applyFill="1" applyBorder="1" applyAlignment="1">
      <alignment horizontal="left" vertical="top" wrapText="1"/>
    </xf>
    <xf numFmtId="4" fontId="3" fillId="2" borderId="2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0" borderId="103" xfId="0" applyFont="1" applyFill="1" applyBorder="1" applyAlignment="1">
      <alignment horizontal="left" vertical="top" wrapText="1"/>
    </xf>
    <xf numFmtId="0" fontId="3" fillId="0" borderId="104" xfId="0" applyFont="1" applyFill="1" applyBorder="1" applyAlignment="1">
      <alignment horizontal="left" vertical="top" wrapText="1"/>
    </xf>
    <xf numFmtId="3" fontId="3" fillId="0" borderId="55" xfId="0" applyNumberFormat="1" applyFont="1" applyFill="1" applyBorder="1" applyAlignment="1">
      <alignment horizontal="right" vertical="top" wrapText="1"/>
    </xf>
    <xf numFmtId="3" fontId="3" fillId="0" borderId="53" xfId="0" applyNumberFormat="1" applyFont="1" applyFill="1" applyBorder="1" applyAlignment="1">
      <alignment horizontal="right" vertical="top"/>
    </xf>
    <xf numFmtId="49" fontId="3" fillId="8" borderId="19" xfId="0" applyNumberFormat="1" applyFont="1" applyFill="1" applyBorder="1" applyAlignment="1">
      <alignment horizontal="center" vertical="top" wrapText="1"/>
    </xf>
    <xf numFmtId="0" fontId="3" fillId="8" borderId="84" xfId="0" applyFont="1" applyFill="1" applyBorder="1" applyAlignment="1">
      <alignment vertical="top" wrapText="1"/>
    </xf>
    <xf numFmtId="0" fontId="3" fillId="0" borderId="104" xfId="0" applyFont="1" applyFill="1" applyBorder="1" applyAlignment="1">
      <alignment vertical="top" wrapText="1"/>
    </xf>
    <xf numFmtId="166" fontId="3" fillId="0" borderId="106" xfId="0" applyNumberFormat="1" applyFont="1" applyFill="1" applyBorder="1" applyAlignment="1">
      <alignment horizontal="center" vertical="top" wrapText="1"/>
    </xf>
    <xf numFmtId="166" fontId="3" fillId="0" borderId="82" xfId="0" applyNumberFormat="1" applyFont="1" applyFill="1" applyBorder="1" applyAlignment="1">
      <alignment horizontal="center" vertical="top" wrapText="1"/>
    </xf>
    <xf numFmtId="3" fontId="3" fillId="8" borderId="71" xfId="0" applyNumberFormat="1" applyFont="1" applyFill="1" applyBorder="1" applyAlignment="1">
      <alignment horizontal="right" vertical="top" wrapText="1"/>
    </xf>
    <xf numFmtId="0" fontId="3" fillId="8" borderId="62" xfId="0" applyFont="1" applyFill="1" applyBorder="1" applyAlignment="1">
      <alignment horizontal="left" vertical="top" wrapText="1"/>
    </xf>
    <xf numFmtId="3" fontId="3" fillId="0" borderId="62" xfId="1" applyNumberFormat="1" applyFont="1" applyFill="1" applyBorder="1" applyAlignment="1">
      <alignment horizontal="center" vertical="top"/>
    </xf>
    <xf numFmtId="3" fontId="3" fillId="0" borderId="62" xfId="0" applyNumberFormat="1" applyFont="1" applyFill="1" applyBorder="1" applyAlignment="1">
      <alignment horizontal="center" vertical="top" wrapText="1"/>
    </xf>
    <xf numFmtId="3" fontId="3" fillId="10" borderId="111" xfId="0" applyNumberFormat="1" applyFont="1" applyFill="1" applyBorder="1" applyAlignment="1">
      <alignment horizontal="right" vertical="top" wrapText="1"/>
    </xf>
    <xf numFmtId="3" fontId="3" fillId="0" borderId="111" xfId="0" applyNumberFormat="1" applyFont="1" applyFill="1" applyBorder="1" applyAlignment="1">
      <alignment horizontal="right" vertical="top" wrapText="1"/>
    </xf>
    <xf numFmtId="3" fontId="3" fillId="0" borderId="105" xfId="0" applyNumberFormat="1" applyFont="1" applyFill="1" applyBorder="1" applyAlignment="1">
      <alignment horizontal="right" vertical="top" wrapText="1"/>
    </xf>
    <xf numFmtId="0" fontId="19" fillId="8" borderId="50" xfId="0" applyFont="1" applyFill="1" applyBorder="1" applyAlignment="1">
      <alignment vertical="top" wrapText="1"/>
    </xf>
    <xf numFmtId="3" fontId="5" fillId="8" borderId="40" xfId="0" applyNumberFormat="1" applyFont="1" applyFill="1" applyBorder="1" applyAlignment="1">
      <alignment horizontal="right" vertical="top"/>
    </xf>
    <xf numFmtId="3" fontId="3" fillId="0" borderId="50" xfId="1" applyNumberFormat="1" applyFont="1" applyFill="1" applyBorder="1" applyAlignment="1">
      <alignment horizontal="center" vertical="top"/>
    </xf>
    <xf numFmtId="3" fontId="3" fillId="0" borderId="50" xfId="0" applyNumberFormat="1" applyFont="1" applyFill="1" applyBorder="1" applyAlignment="1">
      <alignment horizontal="center" vertical="top" wrapText="1"/>
    </xf>
    <xf numFmtId="3" fontId="3" fillId="10" borderId="109" xfId="0" applyNumberFormat="1" applyFont="1" applyFill="1" applyBorder="1" applyAlignment="1">
      <alignment horizontal="right" vertical="top" wrapText="1"/>
    </xf>
    <xf numFmtId="3" fontId="3" fillId="0" borderId="109" xfId="0" applyNumberFormat="1" applyFont="1" applyFill="1" applyBorder="1" applyAlignment="1">
      <alignment horizontal="right" vertical="top" wrapText="1"/>
    </xf>
    <xf numFmtId="3" fontId="3" fillId="8" borderId="93" xfId="0" applyNumberFormat="1" applyFont="1" applyFill="1" applyBorder="1" applyAlignment="1">
      <alignment horizontal="center" vertical="top" wrapText="1"/>
    </xf>
    <xf numFmtId="0" fontId="3" fillId="8" borderId="104" xfId="0" applyFont="1" applyFill="1" applyBorder="1" applyAlignment="1">
      <alignment vertical="top" wrapText="1"/>
    </xf>
    <xf numFmtId="3" fontId="3" fillId="8" borderId="106" xfId="0" applyNumberFormat="1" applyFont="1" applyFill="1" applyBorder="1" applyAlignment="1">
      <alignment horizontal="center" vertical="top" wrapText="1"/>
    </xf>
    <xf numFmtId="3" fontId="3" fillId="8" borderId="82" xfId="0" applyNumberFormat="1" applyFont="1" applyFill="1" applyBorder="1" applyAlignment="1">
      <alignment horizontal="center" vertical="top" wrapText="1"/>
    </xf>
    <xf numFmtId="0" fontId="3" fillId="8" borderId="102" xfId="0" applyFont="1" applyFill="1" applyBorder="1" applyAlignment="1">
      <alignment horizontal="left" vertical="top" wrapText="1"/>
    </xf>
    <xf numFmtId="3" fontId="3" fillId="10" borderId="95" xfId="0" applyNumberFormat="1" applyFont="1" applyFill="1" applyBorder="1" applyAlignment="1">
      <alignment horizontal="right" vertical="top" wrapText="1"/>
    </xf>
    <xf numFmtId="3" fontId="3" fillId="0" borderId="112" xfId="0" applyNumberFormat="1" applyFont="1" applyFill="1" applyBorder="1" applyAlignment="1">
      <alignment horizontal="right" vertical="top" wrapText="1"/>
    </xf>
    <xf numFmtId="0" fontId="3" fillId="0" borderId="96" xfId="0" applyFont="1" applyFill="1" applyBorder="1" applyAlignment="1">
      <alignment horizontal="left" vertical="top" wrapText="1"/>
    </xf>
    <xf numFmtId="3" fontId="3" fillId="0" borderId="102" xfId="0" applyNumberFormat="1" applyFont="1" applyFill="1" applyBorder="1" applyAlignment="1">
      <alignment horizontal="center" vertical="top" wrapText="1"/>
    </xf>
    <xf numFmtId="3" fontId="3" fillId="0" borderId="41" xfId="0" applyNumberFormat="1" applyFont="1" applyFill="1" applyBorder="1" applyAlignment="1">
      <alignment horizontal="right" vertical="top" wrapText="1"/>
    </xf>
    <xf numFmtId="3" fontId="3" fillId="0" borderId="46" xfId="0" applyNumberFormat="1" applyFont="1" applyFill="1" applyBorder="1" applyAlignment="1">
      <alignment horizontal="right" vertical="top" wrapText="1"/>
    </xf>
    <xf numFmtId="3" fontId="3" fillId="10" borderId="77" xfId="0" applyNumberFormat="1" applyFont="1" applyFill="1" applyBorder="1" applyAlignment="1">
      <alignment horizontal="right" vertical="top" wrapText="1"/>
    </xf>
    <xf numFmtId="3" fontId="3" fillId="2" borderId="46" xfId="0" applyNumberFormat="1" applyFont="1" applyFill="1" applyBorder="1" applyAlignment="1">
      <alignment horizontal="right" vertical="top"/>
    </xf>
    <xf numFmtId="3" fontId="3" fillId="2" borderId="83" xfId="0" applyNumberFormat="1" applyFont="1" applyFill="1" applyBorder="1" applyAlignment="1">
      <alignment horizontal="right" vertical="top"/>
    </xf>
    <xf numFmtId="0" fontId="3" fillId="2" borderId="10" xfId="0" applyFont="1" applyFill="1" applyBorder="1" applyAlignment="1">
      <alignment vertical="top" wrapText="1"/>
    </xf>
    <xf numFmtId="3" fontId="3" fillId="2" borderId="106" xfId="0" applyNumberFormat="1" applyFont="1" applyFill="1" applyBorder="1" applyAlignment="1">
      <alignment horizontal="center" vertical="top"/>
    </xf>
    <xf numFmtId="3" fontId="3" fillId="2" borderId="82" xfId="0" applyNumberFormat="1" applyFont="1" applyFill="1" applyBorder="1" applyAlignment="1">
      <alignment horizontal="center" vertical="top"/>
    </xf>
    <xf numFmtId="3" fontId="3" fillId="10" borderId="70" xfId="0" applyNumberFormat="1" applyFont="1" applyFill="1" applyBorder="1" applyAlignment="1">
      <alignment horizontal="right" vertical="center"/>
    </xf>
    <xf numFmtId="0" fontId="3" fillId="8" borderId="115" xfId="0" applyFont="1" applyFill="1" applyBorder="1" applyAlignment="1">
      <alignment horizontal="center" vertical="top"/>
    </xf>
    <xf numFmtId="3" fontId="3" fillId="10" borderId="116" xfId="0" applyNumberFormat="1" applyFont="1" applyFill="1" applyBorder="1" applyAlignment="1">
      <alignment horizontal="right" vertical="center"/>
    </xf>
    <xf numFmtId="3" fontId="3" fillId="2" borderId="115" xfId="0" applyNumberFormat="1" applyFont="1" applyFill="1" applyBorder="1" applyAlignment="1">
      <alignment horizontal="right" vertical="top" wrapText="1"/>
    </xf>
    <xf numFmtId="3" fontId="3" fillId="8" borderId="24" xfId="0" applyNumberFormat="1" applyFont="1" applyFill="1" applyBorder="1" applyAlignment="1">
      <alignment horizontal="right" vertical="top"/>
    </xf>
    <xf numFmtId="3" fontId="3" fillId="8" borderId="55" xfId="0" applyNumberFormat="1" applyFont="1" applyFill="1" applyBorder="1" applyAlignment="1">
      <alignment horizontal="right" vertical="top"/>
    </xf>
    <xf numFmtId="3" fontId="3" fillId="8" borderId="9" xfId="0" applyNumberFormat="1" applyFont="1" applyFill="1" applyBorder="1" applyAlignment="1">
      <alignment horizontal="right" vertical="top"/>
    </xf>
    <xf numFmtId="3" fontId="3" fillId="8" borderId="53" xfId="0" applyNumberFormat="1" applyFont="1" applyFill="1" applyBorder="1" applyAlignment="1">
      <alignment horizontal="right" vertical="top"/>
    </xf>
    <xf numFmtId="0" fontId="5" fillId="2" borderId="50" xfId="0" applyFont="1" applyFill="1" applyBorder="1" applyAlignment="1">
      <alignment horizontal="left" vertical="top" wrapText="1"/>
    </xf>
    <xf numFmtId="1" fontId="3" fillId="10" borderId="2" xfId="0" applyNumberFormat="1" applyFont="1" applyFill="1" applyBorder="1" applyAlignment="1">
      <alignment horizontal="right" vertical="top"/>
    </xf>
    <xf numFmtId="1" fontId="3" fillId="10" borderId="18" xfId="0" applyNumberFormat="1" applyFont="1" applyFill="1" applyBorder="1" applyAlignment="1">
      <alignment horizontal="right" vertical="top"/>
    </xf>
    <xf numFmtId="0" fontId="3" fillId="0" borderId="30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8" borderId="3" xfId="0" applyFont="1" applyFill="1" applyBorder="1" applyAlignment="1">
      <alignment horizontal="center" vertical="center" textRotation="90" wrapText="1"/>
    </xf>
    <xf numFmtId="0" fontId="39" fillId="0" borderId="3" xfId="0" applyFont="1" applyBorder="1" applyAlignment="1">
      <alignment horizontal="center" vertical="center" textRotation="90" wrapText="1"/>
    </xf>
    <xf numFmtId="0" fontId="39" fillId="0" borderId="3" xfId="0" applyFont="1" applyFill="1" applyBorder="1" applyAlignment="1">
      <alignment horizontal="center" vertical="center" textRotation="90" wrapText="1"/>
    </xf>
    <xf numFmtId="0" fontId="39" fillId="0" borderId="3" xfId="0" applyFont="1" applyBorder="1" applyAlignment="1">
      <alignment horizontal="center" vertical="center" textRotation="90"/>
    </xf>
    <xf numFmtId="0" fontId="39" fillId="0" borderId="4" xfId="0" applyFont="1" applyBorder="1" applyAlignment="1">
      <alignment horizontal="center" vertical="center" textRotation="90"/>
    </xf>
    <xf numFmtId="49" fontId="5" fillId="14" borderId="70" xfId="0" applyNumberFormat="1" applyFont="1" applyFill="1" applyBorder="1" applyAlignment="1">
      <alignment horizontal="center" vertical="top" wrapText="1"/>
    </xf>
    <xf numFmtId="49" fontId="5" fillId="14" borderId="31" xfId="0" applyNumberFormat="1" applyFont="1" applyFill="1" applyBorder="1" applyAlignment="1">
      <alignment horizontal="center" vertical="top"/>
    </xf>
    <xf numFmtId="49" fontId="5" fillId="3" borderId="32" xfId="0" applyNumberFormat="1" applyFont="1" applyFill="1" applyBorder="1" applyAlignment="1">
      <alignment horizontal="center" vertical="top"/>
    </xf>
    <xf numFmtId="0" fontId="3" fillId="0" borderId="55" xfId="0" applyFont="1" applyFill="1" applyBorder="1" applyAlignment="1">
      <alignment horizontal="center" vertical="top" wrapText="1"/>
    </xf>
    <xf numFmtId="1" fontId="3" fillId="10" borderId="31" xfId="0" applyNumberFormat="1" applyFont="1" applyFill="1" applyBorder="1" applyAlignment="1">
      <alignment horizontal="right" vertical="top"/>
    </xf>
    <xf numFmtId="1" fontId="3" fillId="10" borderId="34" xfId="0" applyNumberFormat="1" applyFont="1" applyFill="1" applyBorder="1" applyAlignment="1">
      <alignment horizontal="right" vertical="top"/>
    </xf>
    <xf numFmtId="1" fontId="3" fillId="10" borderId="32" xfId="0" applyNumberFormat="1" applyFont="1" applyFill="1" applyBorder="1" applyAlignment="1">
      <alignment horizontal="right" vertical="top"/>
    </xf>
    <xf numFmtId="1" fontId="3" fillId="10" borderId="12" xfId="0" applyNumberFormat="1" applyFont="1" applyFill="1" applyBorder="1" applyAlignment="1">
      <alignment horizontal="right" vertical="top"/>
    </xf>
    <xf numFmtId="1" fontId="3" fillId="10" borderId="13" xfId="0" applyNumberFormat="1" applyFont="1" applyFill="1" applyBorder="1" applyAlignment="1">
      <alignment horizontal="right" vertical="top"/>
    </xf>
    <xf numFmtId="1" fontId="3" fillId="10" borderId="15" xfId="0" applyNumberFormat="1" applyFont="1" applyFill="1" applyBorder="1" applyAlignment="1">
      <alignment horizontal="right" vertical="top"/>
    </xf>
    <xf numFmtId="1" fontId="3" fillId="10" borderId="7" xfId="0" applyNumberFormat="1" applyFont="1" applyFill="1" applyBorder="1" applyAlignment="1">
      <alignment horizontal="right" vertical="top"/>
    </xf>
    <xf numFmtId="3" fontId="3" fillId="0" borderId="47" xfId="0" applyNumberFormat="1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/>
    </xf>
    <xf numFmtId="0" fontId="3" fillId="0" borderId="44" xfId="0" applyFont="1" applyFill="1" applyBorder="1" applyAlignment="1">
      <alignment horizontal="center" vertical="top" wrapText="1"/>
    </xf>
    <xf numFmtId="1" fontId="3" fillId="10" borderId="16" xfId="0" applyNumberFormat="1" applyFont="1" applyFill="1" applyBorder="1" applyAlignment="1">
      <alignment horizontal="right" vertical="top"/>
    </xf>
    <xf numFmtId="1" fontId="3" fillId="10" borderId="17" xfId="0" applyNumberFormat="1" applyFont="1" applyFill="1" applyBorder="1" applyAlignment="1">
      <alignment horizontal="right" vertical="top"/>
    </xf>
    <xf numFmtId="1" fontId="3" fillId="10" borderId="50" xfId="0" applyNumberFormat="1" applyFont="1" applyFill="1" applyBorder="1" applyAlignment="1">
      <alignment horizontal="right" vertical="top"/>
    </xf>
    <xf numFmtId="1" fontId="3" fillId="10" borderId="23" xfId="0" applyNumberFormat="1" applyFont="1" applyFill="1" applyBorder="1" applyAlignment="1">
      <alignment horizontal="right" vertical="top"/>
    </xf>
    <xf numFmtId="0" fontId="3" fillId="0" borderId="17" xfId="0" applyFont="1" applyBorder="1" applyAlignment="1">
      <alignment vertical="top" wrapText="1"/>
    </xf>
    <xf numFmtId="0" fontId="3" fillId="0" borderId="19" xfId="0" applyFont="1" applyBorder="1" applyAlignment="1">
      <alignment vertical="top"/>
    </xf>
    <xf numFmtId="1" fontId="3" fillId="10" borderId="21" xfId="0" applyNumberFormat="1" applyFont="1" applyFill="1" applyBorder="1" applyAlignment="1">
      <alignment horizontal="right" vertical="top"/>
    </xf>
    <xf numFmtId="1" fontId="3" fillId="10" borderId="48" xfId="0" applyNumberFormat="1" applyFont="1" applyFill="1" applyBorder="1" applyAlignment="1">
      <alignment horizontal="right" vertical="top"/>
    </xf>
    <xf numFmtId="1" fontId="3" fillId="10" borderId="51" xfId="0" applyNumberFormat="1" applyFont="1" applyFill="1" applyBorder="1" applyAlignment="1">
      <alignment horizontal="right" vertical="top"/>
    </xf>
    <xf numFmtId="1" fontId="3" fillId="10" borderId="42" xfId="0" applyNumberFormat="1" applyFont="1" applyFill="1" applyBorder="1" applyAlignment="1">
      <alignment horizontal="right" vertical="top"/>
    </xf>
    <xf numFmtId="165" fontId="3" fillId="10" borderId="6" xfId="0" applyNumberFormat="1" applyFont="1" applyFill="1" applyBorder="1" applyAlignment="1">
      <alignment horizontal="right" vertical="top"/>
    </xf>
    <xf numFmtId="1" fontId="3" fillId="10" borderId="45" xfId="0" applyNumberFormat="1" applyFont="1" applyFill="1" applyBorder="1" applyAlignment="1">
      <alignment horizontal="right" vertical="top"/>
    </xf>
    <xf numFmtId="1" fontId="3" fillId="10" borderId="6" xfId="0" applyNumberFormat="1" applyFont="1" applyFill="1" applyBorder="1" applyAlignment="1">
      <alignment horizontal="right" vertical="top"/>
    </xf>
    <xf numFmtId="0" fontId="3" fillId="0" borderId="53" xfId="0" applyFont="1" applyFill="1" applyBorder="1" applyAlignment="1">
      <alignment horizontal="center" vertical="top" wrapText="1"/>
    </xf>
    <xf numFmtId="1" fontId="3" fillId="10" borderId="10" xfId="0" applyNumberFormat="1" applyFont="1" applyFill="1" applyBorder="1" applyAlignment="1">
      <alignment horizontal="right" vertical="top"/>
    </xf>
    <xf numFmtId="49" fontId="5" fillId="0" borderId="66" xfId="0" applyNumberFormat="1" applyFont="1" applyBorder="1" applyAlignment="1">
      <alignment horizontal="center" vertical="top"/>
    </xf>
    <xf numFmtId="0" fontId="5" fillId="10" borderId="64" xfId="0" applyFont="1" applyFill="1" applyBorder="1" applyAlignment="1">
      <alignment horizontal="center" vertical="top"/>
    </xf>
    <xf numFmtId="1" fontId="5" fillId="10" borderId="60" xfId="0" applyNumberFormat="1" applyFont="1" applyFill="1" applyBorder="1" applyAlignment="1">
      <alignment horizontal="right" vertical="top"/>
    </xf>
    <xf numFmtId="1" fontId="5" fillId="10" borderId="59" xfId="0" applyNumberFormat="1" applyFont="1" applyFill="1" applyBorder="1" applyAlignment="1">
      <alignment horizontal="right" vertical="top"/>
    </xf>
    <xf numFmtId="1" fontId="5" fillId="10" borderId="67" xfId="0" applyNumberFormat="1" applyFont="1" applyFill="1" applyBorder="1" applyAlignment="1">
      <alignment horizontal="right" vertical="top"/>
    </xf>
    <xf numFmtId="0" fontId="3" fillId="0" borderId="26" xfId="0" applyFont="1" applyBorder="1" applyAlignment="1">
      <alignment vertical="top" wrapText="1"/>
    </xf>
    <xf numFmtId="49" fontId="5" fillId="14" borderId="56" xfId="0" applyNumberFormat="1" applyFont="1" applyFill="1" applyBorder="1" applyAlignment="1">
      <alignment horizontal="center" vertical="top"/>
    </xf>
    <xf numFmtId="1" fontId="5" fillId="3" borderId="56" xfId="0" applyNumberFormat="1" applyFont="1" applyFill="1" applyBorder="1" applyAlignment="1">
      <alignment horizontal="right" vertical="top"/>
    </xf>
    <xf numFmtId="0" fontId="3" fillId="3" borderId="63" xfId="0" applyFont="1" applyFill="1" applyBorder="1" applyAlignment="1">
      <alignment vertical="top" wrapText="1"/>
    </xf>
    <xf numFmtId="0" fontId="3" fillId="3" borderId="68" xfId="0" applyFont="1" applyFill="1" applyBorder="1" applyAlignment="1">
      <alignment vertical="top" wrapText="1"/>
    </xf>
    <xf numFmtId="0" fontId="3" fillId="3" borderId="69" xfId="0" applyFont="1" applyFill="1" applyBorder="1" applyAlignment="1">
      <alignment vertical="top" wrapText="1"/>
    </xf>
    <xf numFmtId="49" fontId="5" fillId="14" borderId="63" xfId="0" applyNumberFormat="1" applyFont="1" applyFill="1" applyBorder="1" applyAlignment="1">
      <alignment horizontal="center" vertical="top"/>
    </xf>
    <xf numFmtId="1" fontId="5" fillId="14" borderId="22" xfId="0" applyNumberFormat="1" applyFont="1" applyFill="1" applyBorder="1" applyAlignment="1">
      <alignment horizontal="right" vertical="top"/>
    </xf>
    <xf numFmtId="1" fontId="5" fillId="5" borderId="22" xfId="0" applyNumberFormat="1" applyFont="1" applyFill="1" applyBorder="1" applyAlignment="1">
      <alignment horizontal="right" vertical="top"/>
    </xf>
    <xf numFmtId="1" fontId="5" fillId="5" borderId="56" xfId="0" applyNumberFormat="1" applyFont="1" applyFill="1" applyBorder="1" applyAlignment="1">
      <alignment horizontal="right" vertical="top"/>
    </xf>
    <xf numFmtId="1" fontId="5" fillId="5" borderId="63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166" fontId="5" fillId="5" borderId="0" xfId="0" applyNumberFormat="1" applyFont="1" applyFill="1" applyBorder="1" applyAlignment="1">
      <alignment horizontal="center" vertical="top" wrapText="1"/>
    </xf>
    <xf numFmtId="166" fontId="3" fillId="0" borderId="0" xfId="0" applyNumberFormat="1" applyFont="1" applyBorder="1" applyAlignment="1">
      <alignment horizontal="center" vertical="top" wrapText="1"/>
    </xf>
    <xf numFmtId="0" fontId="5" fillId="6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44" fillId="0" borderId="0" xfId="0" applyFont="1" applyFill="1" applyAlignment="1">
      <alignment horizontal="center"/>
    </xf>
    <xf numFmtId="0" fontId="43" fillId="0" borderId="0" xfId="0" applyFont="1" applyAlignment="1">
      <alignment vertical="top" wrapText="1"/>
    </xf>
    <xf numFmtId="0" fontId="0" fillId="0" borderId="2" xfId="0" applyFill="1" applyBorder="1"/>
    <xf numFmtId="0" fontId="0" fillId="0" borderId="37" xfId="0" applyFill="1" applyBorder="1"/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2" fillId="15" borderId="0" xfId="0" applyFont="1" applyFill="1" applyBorder="1" applyAlignment="1">
      <alignment horizontal="center"/>
    </xf>
    <xf numFmtId="0" fontId="42" fillId="2" borderId="49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center" wrapText="1"/>
    </xf>
    <xf numFmtId="0" fontId="42" fillId="8" borderId="0" xfId="0" applyFont="1" applyFill="1" applyBorder="1" applyAlignment="1">
      <alignment horizontal="center"/>
    </xf>
    <xf numFmtId="0" fontId="3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2" xfId="2" applyFont="1" applyBorder="1">
      <alignment horizontal="left" vertical="top" wrapText="1"/>
    </xf>
    <xf numFmtId="0" fontId="4" fillId="2" borderId="43" xfId="2" applyFont="1" applyBorder="1">
      <alignment horizontal="left" vertical="top" wrapText="1"/>
    </xf>
    <xf numFmtId="0" fontId="4" fillId="2" borderId="42" xfId="2" applyFont="1" applyBorder="1">
      <alignment horizontal="left" vertical="top" wrapText="1"/>
    </xf>
    <xf numFmtId="0" fontId="4" fillId="2" borderId="21" xfId="2" applyFont="1" applyBorder="1">
      <alignment horizontal="left" vertical="top" wrapText="1"/>
    </xf>
    <xf numFmtId="0" fontId="4" fillId="2" borderId="37" xfId="2" applyFont="1" applyBorder="1">
      <alignment horizontal="left" vertical="top" wrapText="1"/>
    </xf>
    <xf numFmtId="0" fontId="4" fillId="2" borderId="34" xfId="2" applyFont="1" applyBorder="1">
      <alignment horizontal="left" vertical="top" wrapText="1"/>
    </xf>
    <xf numFmtId="0" fontId="46" fillId="2" borderId="48" xfId="0" applyFont="1" applyFill="1" applyBorder="1" applyAlignment="1">
      <alignment horizontal="left" vertical="top" wrapText="1"/>
    </xf>
    <xf numFmtId="0" fontId="46" fillId="2" borderId="37" xfId="0" applyFont="1" applyFill="1" applyBorder="1" applyAlignment="1">
      <alignment horizontal="left" vertical="top" wrapText="1"/>
    </xf>
    <xf numFmtId="0" fontId="46" fillId="0" borderId="37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7" fillId="0" borderId="2" xfId="0" applyFont="1" applyBorder="1" applyAlignment="1">
      <alignment horizontal="center" vertical="top" wrapText="1"/>
    </xf>
    <xf numFmtId="0" fontId="47" fillId="16" borderId="37" xfId="0" applyFont="1" applyFill="1" applyBorder="1" applyAlignment="1">
      <alignment horizontal="left"/>
    </xf>
    <xf numFmtId="0" fontId="47" fillId="16" borderId="43" xfId="0" applyFont="1" applyFill="1" applyBorder="1" applyAlignment="1">
      <alignment horizontal="left"/>
    </xf>
    <xf numFmtId="0" fontId="47" fillId="16" borderId="38" xfId="0" applyFont="1" applyFill="1" applyBorder="1" applyAlignment="1">
      <alignment horizontal="left"/>
    </xf>
    <xf numFmtId="0" fontId="47" fillId="17" borderId="48" xfId="0" applyFont="1" applyFill="1" applyBorder="1" applyAlignment="1">
      <alignment horizontal="left"/>
    </xf>
    <xf numFmtId="0" fontId="47" fillId="17" borderId="43" xfId="0" applyFont="1" applyFill="1" applyBorder="1" applyAlignment="1">
      <alignment horizontal="left"/>
    </xf>
    <xf numFmtId="0" fontId="47" fillId="17" borderId="43" xfId="0" applyFont="1" applyFill="1" applyBorder="1" applyAlignment="1">
      <alignment horizontal="center"/>
    </xf>
    <xf numFmtId="0" fontId="47" fillId="17" borderId="38" xfId="0" applyFont="1" applyFill="1" applyBorder="1" applyAlignment="1">
      <alignment horizontal="left"/>
    </xf>
    <xf numFmtId="0" fontId="46" fillId="8" borderId="2" xfId="0" applyFont="1" applyFill="1" applyBorder="1" applyAlignment="1">
      <alignment vertical="top" wrapText="1"/>
    </xf>
    <xf numFmtId="0" fontId="46" fillId="2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47" fillId="17" borderId="32" xfId="0" applyFont="1" applyFill="1" applyBorder="1" applyAlignment="1">
      <alignment horizontal="left"/>
    </xf>
    <xf numFmtId="0" fontId="46" fillId="8" borderId="21" xfId="0" applyFont="1" applyFill="1" applyBorder="1" applyAlignment="1">
      <alignment horizontal="left" vertical="top" wrapText="1"/>
    </xf>
    <xf numFmtId="0" fontId="46" fillId="8" borderId="2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horizontal="center" vertical="center" wrapText="1"/>
    </xf>
    <xf numFmtId="0" fontId="47" fillId="17" borderId="37" xfId="0" applyFont="1" applyFill="1" applyBorder="1" applyAlignment="1">
      <alignment horizontal="left"/>
    </xf>
    <xf numFmtId="0" fontId="46" fillId="2" borderId="21" xfId="0" applyFont="1" applyFill="1" applyBorder="1" applyAlignment="1">
      <alignment horizontal="left" vertical="top" wrapText="1"/>
    </xf>
    <xf numFmtId="0" fontId="46" fillId="2" borderId="21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left" vertical="top" wrapText="1"/>
    </xf>
    <xf numFmtId="0" fontId="46" fillId="2" borderId="34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6" fillId="0" borderId="21" xfId="0" applyFont="1" applyFill="1" applyBorder="1" applyAlignment="1">
      <alignment vertical="top" wrapText="1"/>
    </xf>
    <xf numFmtId="0" fontId="48" fillId="0" borderId="2" xfId="0" applyFont="1" applyFill="1" applyBorder="1" applyAlignment="1">
      <alignment vertical="top" wrapText="1"/>
    </xf>
    <xf numFmtId="0" fontId="48" fillId="0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7" fillId="18" borderId="2" xfId="0" applyFont="1" applyFill="1" applyBorder="1" applyAlignment="1">
      <alignment horizontal="center"/>
    </xf>
    <xf numFmtId="0" fontId="47" fillId="20" borderId="2" xfId="0" applyFont="1" applyFill="1" applyBorder="1" applyAlignment="1">
      <alignment horizontal="center"/>
    </xf>
    <xf numFmtId="0" fontId="47" fillId="15" borderId="37" xfId="0" applyFont="1" applyFill="1" applyBorder="1" applyAlignment="1">
      <alignment horizontal="left"/>
    </xf>
    <xf numFmtId="0" fontId="47" fillId="15" borderId="43" xfId="0" applyFont="1" applyFill="1" applyBorder="1" applyAlignment="1">
      <alignment horizontal="left"/>
    </xf>
    <xf numFmtId="0" fontId="4" fillId="0" borderId="2" xfId="0" applyFont="1" applyBorder="1" applyAlignment="1">
      <alignment vertical="top"/>
    </xf>
    <xf numFmtId="0" fontId="46" fillId="2" borderId="34" xfId="0" applyFont="1" applyFill="1" applyBorder="1" applyAlignment="1">
      <alignment horizontal="left" vertical="top" wrapText="1"/>
    </xf>
    <xf numFmtId="0" fontId="46" fillId="8" borderId="37" xfId="0" applyFont="1" applyFill="1" applyBorder="1" applyAlignment="1">
      <alignment horizontal="left" vertical="top" wrapText="1"/>
    </xf>
    <xf numFmtId="0" fontId="4" fillId="0" borderId="37" xfId="0" applyFont="1" applyBorder="1" applyAlignment="1">
      <alignment vertical="top"/>
    </xf>
    <xf numFmtId="0" fontId="46" fillId="2" borderId="32" xfId="0" applyFont="1" applyFill="1" applyBorder="1" applyAlignment="1">
      <alignment horizontal="left" vertical="top" wrapText="1"/>
    </xf>
    <xf numFmtId="0" fontId="6" fillId="11" borderId="2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left" vertical="top" wrapText="1"/>
    </xf>
    <xf numFmtId="0" fontId="46" fillId="0" borderId="34" xfId="0" applyFont="1" applyBorder="1" applyAlignment="1">
      <alignment vertical="top"/>
    </xf>
    <xf numFmtId="0" fontId="46" fillId="0" borderId="2" xfId="0" applyFont="1" applyBorder="1" applyAlignment="1">
      <alignment vertical="top"/>
    </xf>
    <xf numFmtId="0" fontId="48" fillId="0" borderId="17" xfId="0" applyFont="1" applyFill="1" applyBorder="1" applyAlignment="1">
      <alignment horizontal="center" vertical="center" wrapText="1"/>
    </xf>
    <xf numFmtId="0" fontId="46" fillId="8" borderId="2" xfId="0" applyFont="1" applyFill="1" applyBorder="1" applyAlignment="1">
      <alignment horizontal="left" vertical="center"/>
    </xf>
    <xf numFmtId="0" fontId="46" fillId="0" borderId="34" xfId="0" applyFont="1" applyBorder="1" applyAlignment="1">
      <alignment vertical="top" wrapText="1"/>
    </xf>
    <xf numFmtId="0" fontId="46" fillId="8" borderId="37" xfId="0" applyFont="1" applyFill="1" applyBorder="1" applyAlignment="1">
      <alignment horizontal="left" vertical="center"/>
    </xf>
    <xf numFmtId="0" fontId="47" fillId="17" borderId="37" xfId="0" applyFont="1" applyFill="1" applyBorder="1" applyAlignment="1"/>
    <xf numFmtId="0" fontId="47" fillId="17" borderId="43" xfId="0" applyFont="1" applyFill="1" applyBorder="1" applyAlignment="1"/>
    <xf numFmtId="0" fontId="47" fillId="17" borderId="38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vertical="top"/>
    </xf>
    <xf numFmtId="0" fontId="4" fillId="0" borderId="34" xfId="0" applyFont="1" applyFill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1" xfId="0" applyFont="1" applyBorder="1" applyAlignment="1">
      <alignment vertical="top" wrapText="1"/>
    </xf>
    <xf numFmtId="0" fontId="48" fillId="0" borderId="21" xfId="0" applyFont="1" applyFill="1" applyBorder="1" applyAlignment="1">
      <alignment vertical="top" wrapText="1"/>
    </xf>
    <xf numFmtId="0" fontId="46" fillId="0" borderId="37" xfId="0" applyFont="1" applyBorder="1" applyAlignment="1">
      <alignment vertical="top" wrapText="1"/>
    </xf>
    <xf numFmtId="0" fontId="46" fillId="8" borderId="38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7" fillId="18" borderId="38" xfId="0" applyFont="1" applyFill="1" applyBorder="1" applyAlignment="1">
      <alignment horizontal="center"/>
    </xf>
    <xf numFmtId="0" fontId="46" fillId="2" borderId="2" xfId="0" applyFont="1" applyFill="1" applyBorder="1" applyAlignment="1">
      <alignment horizontal="left" vertical="top"/>
    </xf>
    <xf numFmtId="0" fontId="46" fillId="0" borderId="21" xfId="0" applyFont="1" applyBorder="1" applyAlignment="1">
      <alignment horizontal="left" vertical="top"/>
    </xf>
    <xf numFmtId="0" fontId="48" fillId="2" borderId="2" xfId="0" applyFont="1" applyFill="1" applyBorder="1" applyAlignment="1">
      <alignment vertical="top" wrapText="1"/>
    </xf>
    <xf numFmtId="0" fontId="46" fillId="0" borderId="37" xfId="0" applyFont="1" applyBorder="1" applyAlignment="1">
      <alignment vertical="top"/>
    </xf>
    <xf numFmtId="0" fontId="48" fillId="2" borderId="21" xfId="0" applyFont="1" applyFill="1" applyBorder="1" applyAlignment="1">
      <alignment vertical="top" wrapText="1"/>
    </xf>
    <xf numFmtId="0" fontId="46" fillId="2" borderId="21" xfId="0" applyFont="1" applyFill="1" applyBorder="1" applyAlignment="1">
      <alignment vertical="top" wrapText="1"/>
    </xf>
    <xf numFmtId="0" fontId="46" fillId="2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center" wrapText="1"/>
    </xf>
    <xf numFmtId="0" fontId="46" fillId="8" borderId="2" xfId="0" applyFont="1" applyFill="1" applyBorder="1" applyAlignment="1">
      <alignment horizontal="left"/>
    </xf>
    <xf numFmtId="0" fontId="46" fillId="2" borderId="2" xfId="0" applyFont="1" applyFill="1" applyBorder="1" applyAlignment="1">
      <alignment vertical="top"/>
    </xf>
    <xf numFmtId="0" fontId="46" fillId="2" borderId="21" xfId="0" applyFont="1" applyFill="1" applyBorder="1" applyAlignment="1">
      <alignment vertical="top"/>
    </xf>
    <xf numFmtId="0" fontId="49" fillId="0" borderId="37" xfId="0" applyFont="1" applyBorder="1" applyAlignment="1">
      <alignment vertical="top" wrapText="1"/>
    </xf>
    <xf numFmtId="0" fontId="46" fillId="8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7" fillId="21" borderId="2" xfId="0" applyFont="1" applyFill="1" applyBorder="1" applyAlignment="1">
      <alignment horizontal="center"/>
    </xf>
    <xf numFmtId="0" fontId="48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Border="1"/>
    <xf numFmtId="0" fontId="4" fillId="2" borderId="2" xfId="2" applyFont="1" applyBorder="1" applyAlignment="1">
      <alignment horizontal="left" vertical="top" wrapText="1"/>
    </xf>
    <xf numFmtId="0" fontId="4" fillId="0" borderId="0" xfId="0" applyFont="1"/>
    <xf numFmtId="0" fontId="4" fillId="0" borderId="21" xfId="0" applyFont="1" applyBorder="1" applyAlignment="1">
      <alignment horizontal="center" vertical="center" wrapText="1"/>
    </xf>
    <xf numFmtId="0" fontId="46" fillId="2" borderId="21" xfId="0" applyFont="1" applyFill="1" applyBorder="1" applyAlignment="1">
      <alignment horizontal="center" vertical="center" wrapText="1"/>
    </xf>
    <xf numFmtId="0" fontId="46" fillId="8" borderId="2" xfId="0" applyFont="1" applyFill="1" applyBorder="1" applyAlignment="1">
      <alignment horizontal="center" vertical="center"/>
    </xf>
    <xf numFmtId="0" fontId="46" fillId="8" borderId="2" xfId="0" applyFont="1" applyFill="1" applyBorder="1" applyAlignment="1">
      <alignment horizontal="left" wrapText="1"/>
    </xf>
    <xf numFmtId="0" fontId="46" fillId="0" borderId="2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left" vertical="top"/>
    </xf>
    <xf numFmtId="14" fontId="46" fillId="0" borderId="2" xfId="0" applyNumberFormat="1" applyFont="1" applyBorder="1" applyAlignment="1">
      <alignment horizontal="left" vertical="top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top" wrapText="1"/>
    </xf>
    <xf numFmtId="0" fontId="23" fillId="0" borderId="33" xfId="0" applyFont="1" applyBorder="1" applyAlignment="1">
      <alignment horizontal="left" vertical="top" wrapText="1"/>
    </xf>
    <xf numFmtId="0" fontId="23" fillId="0" borderId="45" xfId="0" applyFont="1" applyBorder="1" applyAlignment="1">
      <alignment vertical="top" wrapText="1"/>
    </xf>
    <xf numFmtId="0" fontId="31" fillId="0" borderId="10" xfId="0" applyFont="1" applyBorder="1" applyAlignment="1">
      <alignment vertical="top" wrapText="1"/>
    </xf>
    <xf numFmtId="0" fontId="30" fillId="0" borderId="45" xfId="0" applyFont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 vertical="center" textRotation="90" wrapText="1"/>
    </xf>
    <xf numFmtId="4" fontId="3" fillId="2" borderId="17" xfId="0" applyNumberFormat="1" applyFont="1" applyFill="1" applyBorder="1" applyAlignment="1">
      <alignment horizontal="center" vertical="top"/>
    </xf>
    <xf numFmtId="4" fontId="3" fillId="2" borderId="34" xfId="0" applyNumberFormat="1" applyFont="1" applyFill="1" applyBorder="1" applyAlignment="1">
      <alignment horizontal="center" vertical="top"/>
    </xf>
    <xf numFmtId="4" fontId="3" fillId="2" borderId="19" xfId="0" applyNumberFormat="1" applyFont="1" applyFill="1" applyBorder="1" applyAlignment="1">
      <alignment horizontal="center" vertical="top"/>
    </xf>
    <xf numFmtId="4" fontId="3" fillId="2" borderId="33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 textRotation="90" wrapText="1"/>
    </xf>
    <xf numFmtId="0" fontId="3" fillId="0" borderId="70" xfId="0" applyFont="1" applyFill="1" applyBorder="1" applyAlignment="1">
      <alignment horizontal="center" vertical="center" textRotation="90" wrapText="1"/>
    </xf>
    <xf numFmtId="49" fontId="3" fillId="0" borderId="17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9" borderId="78" xfId="0" applyNumberFormat="1" applyFont="1" applyFill="1" applyBorder="1" applyAlignment="1">
      <alignment horizontal="left" vertical="top" wrapText="1"/>
    </xf>
    <xf numFmtId="49" fontId="5" fillId="9" borderId="71" xfId="0" applyNumberFormat="1" applyFont="1" applyFill="1" applyBorder="1" applyAlignment="1">
      <alignment horizontal="left" vertical="top" wrapText="1"/>
    </xf>
    <xf numFmtId="49" fontId="5" fillId="9" borderId="65" xfId="0" applyNumberFormat="1" applyFont="1" applyFill="1" applyBorder="1" applyAlignment="1">
      <alignment horizontal="left" vertical="top" wrapText="1"/>
    </xf>
    <xf numFmtId="0" fontId="5" fillId="0" borderId="7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66" xfId="0" applyFont="1" applyBorder="1" applyAlignment="1">
      <alignment horizontal="center" vertical="center" textRotation="90" wrapText="1"/>
    </xf>
    <xf numFmtId="0" fontId="5" fillId="0" borderId="7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textRotation="90" wrapText="1"/>
    </xf>
    <xf numFmtId="0" fontId="3" fillId="0" borderId="54" xfId="0" applyNumberFormat="1" applyFont="1" applyBorder="1" applyAlignment="1">
      <alignment horizontal="center" vertical="center" textRotation="90" wrapText="1"/>
    </xf>
    <xf numFmtId="0" fontId="3" fillId="0" borderId="53" xfId="0" applyNumberFormat="1" applyFont="1" applyBorder="1" applyAlignment="1">
      <alignment horizontal="center" vertical="center" textRotation="90" wrapText="1"/>
    </xf>
    <xf numFmtId="0" fontId="3" fillId="0" borderId="36" xfId="0" applyNumberFormat="1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5" fillId="5" borderId="76" xfId="0" applyFont="1" applyFill="1" applyBorder="1" applyAlignment="1">
      <alignment horizontal="left" vertical="top" wrapText="1"/>
    </xf>
    <xf numFmtId="0" fontId="5" fillId="5" borderId="43" xfId="0" applyFont="1" applyFill="1" applyBorder="1" applyAlignment="1">
      <alignment horizontal="left" vertical="top" wrapText="1"/>
    </xf>
    <xf numFmtId="0" fontId="5" fillId="5" borderId="44" xfId="0" applyFont="1" applyFill="1" applyBorder="1" applyAlignment="1">
      <alignment horizontal="left" vertical="top" wrapText="1"/>
    </xf>
    <xf numFmtId="0" fontId="5" fillId="4" borderId="37" xfId="0" applyFont="1" applyFill="1" applyBorder="1" applyAlignment="1">
      <alignment horizontal="left" vertical="top"/>
    </xf>
    <xf numFmtId="0" fontId="5" fillId="4" borderId="43" xfId="0" applyFont="1" applyFill="1" applyBorder="1" applyAlignment="1">
      <alignment horizontal="left" vertical="top"/>
    </xf>
    <xf numFmtId="0" fontId="5" fillId="4" borderId="44" xfId="0" applyFont="1" applyFill="1" applyBorder="1" applyAlignment="1">
      <alignment horizontal="left" vertical="top"/>
    </xf>
    <xf numFmtId="0" fontId="5" fillId="3" borderId="37" xfId="0" applyFont="1" applyFill="1" applyBorder="1" applyAlignment="1">
      <alignment horizontal="left" vertical="top" wrapText="1"/>
    </xf>
    <xf numFmtId="0" fontId="5" fillId="3" borderId="43" xfId="0" applyFont="1" applyFill="1" applyBorder="1" applyAlignment="1">
      <alignment horizontal="left" vertical="top" wrapText="1"/>
    </xf>
    <xf numFmtId="0" fontId="5" fillId="3" borderId="44" xfId="0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/>
    </xf>
    <xf numFmtId="49" fontId="5" fillId="3" borderId="50" xfId="0" applyNumberFormat="1" applyFont="1" applyFill="1" applyBorder="1" applyAlignment="1">
      <alignment horizontal="center" vertical="top"/>
    </xf>
    <xf numFmtId="49" fontId="5" fillId="8" borderId="17" xfId="0" applyNumberFormat="1" applyFont="1" applyFill="1" applyBorder="1" applyAlignment="1">
      <alignment horizontal="center" vertical="top"/>
    </xf>
    <xf numFmtId="0" fontId="5" fillId="0" borderId="50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center" vertical="center" textRotation="90" wrapText="1"/>
    </xf>
    <xf numFmtId="49" fontId="3" fillId="0" borderId="50" xfId="0" applyNumberFormat="1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textRotation="90" wrapText="1"/>
    </xf>
    <xf numFmtId="0" fontId="3" fillId="2" borderId="47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textRotation="90" wrapText="1"/>
    </xf>
    <xf numFmtId="49" fontId="3" fillId="0" borderId="48" xfId="0" applyNumberFormat="1" applyFont="1" applyBorder="1" applyAlignment="1">
      <alignment horizontal="center" vertical="top" wrapText="1"/>
    </xf>
    <xf numFmtId="49" fontId="3" fillId="0" borderId="32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33" xfId="0" applyNumberFormat="1" applyFont="1" applyBorder="1" applyAlignment="1">
      <alignment horizontal="center" vertical="top"/>
    </xf>
    <xf numFmtId="0" fontId="3" fillId="2" borderId="45" xfId="0" applyFont="1" applyFill="1" applyBorder="1" applyAlignment="1">
      <alignment horizontal="left" vertical="top" wrapText="1"/>
    </xf>
    <xf numFmtId="0" fontId="3" fillId="2" borderId="50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3" fontId="3" fillId="0" borderId="17" xfId="0" applyNumberFormat="1" applyFont="1" applyFill="1" applyBorder="1" applyAlignment="1">
      <alignment horizontal="center" vertical="top" wrapText="1"/>
    </xf>
    <xf numFmtId="3" fontId="3" fillId="0" borderId="34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3" fillId="0" borderId="33" xfId="0" applyNumberFormat="1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49" fontId="3" fillId="0" borderId="34" xfId="0" applyNumberFormat="1" applyFont="1" applyBorder="1" applyAlignment="1">
      <alignment horizontal="center" vertical="top"/>
    </xf>
    <xf numFmtId="0" fontId="5" fillId="0" borderId="32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49" fontId="3" fillId="0" borderId="28" xfId="0" applyNumberFormat="1" applyFont="1" applyBorder="1" applyAlignment="1">
      <alignment horizontal="center" vertical="top"/>
    </xf>
    <xf numFmtId="49" fontId="5" fillId="0" borderId="29" xfId="0" applyNumberFormat="1" applyFont="1" applyBorder="1" applyAlignment="1">
      <alignment horizontal="center" vertical="top"/>
    </xf>
    <xf numFmtId="49" fontId="5" fillId="4" borderId="11" xfId="0" applyNumberFormat="1" applyFont="1" applyFill="1" applyBorder="1" applyAlignment="1">
      <alignment horizontal="center" vertical="top"/>
    </xf>
    <xf numFmtId="49" fontId="5" fillId="3" borderId="62" xfId="0" applyNumberFormat="1" applyFont="1" applyFill="1" applyBorder="1" applyAlignment="1">
      <alignment horizontal="center" vertical="top"/>
    </xf>
    <xf numFmtId="49" fontId="5" fillId="8" borderId="26" xfId="0" applyNumberFormat="1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top"/>
    </xf>
    <xf numFmtId="49" fontId="5" fillId="4" borderId="8" xfId="0" applyNumberFormat="1" applyFont="1" applyFill="1" applyBorder="1" applyAlignment="1">
      <alignment horizontal="center" vertical="top"/>
    </xf>
    <xf numFmtId="49" fontId="5" fillId="3" borderId="47" xfId="0" applyNumberFormat="1" applyFont="1" applyFill="1" applyBorder="1" applyAlignment="1">
      <alignment horizontal="center" vertical="top"/>
    </xf>
    <xf numFmtId="49" fontId="5" fillId="8" borderId="28" xfId="0" applyNumberFormat="1" applyFont="1" applyFill="1" applyBorder="1" applyAlignment="1">
      <alignment horizontal="center" vertical="top"/>
    </xf>
    <xf numFmtId="0" fontId="15" fillId="0" borderId="2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49" fontId="5" fillId="0" borderId="27" xfId="0" applyNumberFormat="1" applyFont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 wrapText="1"/>
    </xf>
    <xf numFmtId="3" fontId="3" fillId="0" borderId="29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19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166" fontId="3" fillId="0" borderId="21" xfId="0" applyNumberFormat="1" applyFont="1" applyFill="1" applyBorder="1" applyAlignment="1">
      <alignment horizontal="center" vertical="top" wrapText="1"/>
    </xf>
    <xf numFmtId="166" fontId="3" fillId="0" borderId="17" xfId="0" applyNumberFormat="1" applyFont="1" applyFill="1" applyBorder="1" applyAlignment="1">
      <alignment horizontal="center" vertical="top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19" fillId="2" borderId="29" xfId="0" applyFont="1" applyFill="1" applyBorder="1" applyAlignment="1">
      <alignment horizontal="left" vertical="top" wrapText="1"/>
    </xf>
    <xf numFmtId="0" fontId="19" fillId="2" borderId="19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3" fontId="3" fillId="2" borderId="28" xfId="0" applyNumberFormat="1" applyFont="1" applyFill="1" applyBorder="1" applyAlignment="1">
      <alignment horizontal="center" vertical="top" wrapText="1"/>
    </xf>
    <xf numFmtId="3" fontId="3" fillId="2" borderId="17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49" fontId="5" fillId="0" borderId="47" xfId="0" applyNumberFormat="1" applyFont="1" applyBorder="1" applyAlignment="1">
      <alignment horizontal="center" vertical="top"/>
    </xf>
    <xf numFmtId="49" fontId="5" fillId="0" borderId="50" xfId="0" applyNumberFormat="1" applyFont="1" applyBorder="1" applyAlignment="1">
      <alignment horizontal="center" vertical="top"/>
    </xf>
    <xf numFmtId="49" fontId="5" fillId="0" borderId="62" xfId="0" applyNumberFormat="1" applyFont="1" applyBorder="1" applyAlignment="1">
      <alignment horizontal="center" vertical="top"/>
    </xf>
    <xf numFmtId="0" fontId="5" fillId="2" borderId="29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49" fontId="5" fillId="0" borderId="28" xfId="0" applyNumberFormat="1" applyFont="1" applyFill="1" applyBorder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top"/>
    </xf>
    <xf numFmtId="49" fontId="5" fillId="0" borderId="26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49" fontId="3" fillId="0" borderId="47" xfId="0" applyNumberFormat="1" applyFont="1" applyBorder="1" applyAlignment="1">
      <alignment horizontal="center" vertical="top" wrapText="1"/>
    </xf>
    <xf numFmtId="49" fontId="3" fillId="0" borderId="62" xfId="0" applyNumberFormat="1" applyFont="1" applyBorder="1" applyAlignment="1">
      <alignment horizontal="center" vertical="top" wrapText="1"/>
    </xf>
    <xf numFmtId="165" fontId="9" fillId="2" borderId="45" xfId="0" applyNumberFormat="1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165" fontId="3" fillId="2" borderId="10" xfId="0" applyNumberFormat="1" applyFont="1" applyFill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49" fontId="5" fillId="12" borderId="50" xfId="0" applyNumberFormat="1" applyFont="1" applyFill="1" applyBorder="1" applyAlignment="1">
      <alignment horizontal="center" vertical="top"/>
    </xf>
    <xf numFmtId="0" fontId="3" fillId="2" borderId="19" xfId="0" applyFont="1" applyFill="1" applyBorder="1" applyAlignment="1">
      <alignment vertical="top" wrapText="1"/>
    </xf>
    <xf numFmtId="0" fontId="3" fillId="2" borderId="33" xfId="0" applyFont="1" applyFill="1" applyBorder="1" applyAlignment="1">
      <alignment vertical="top" wrapText="1"/>
    </xf>
    <xf numFmtId="0" fontId="5" fillId="0" borderId="31" xfId="0" applyFont="1" applyFill="1" applyBorder="1" applyAlignment="1">
      <alignment horizontal="center" vertical="top" wrapText="1"/>
    </xf>
    <xf numFmtId="49" fontId="5" fillId="3" borderId="68" xfId="0" applyNumberFormat="1" applyFont="1" applyFill="1" applyBorder="1" applyAlignment="1">
      <alignment horizontal="right" vertical="top"/>
    </xf>
    <xf numFmtId="49" fontId="5" fillId="3" borderId="79" xfId="0" applyNumberFormat="1" applyFont="1" applyFill="1" applyBorder="1" applyAlignment="1">
      <alignment horizontal="left" vertical="top"/>
    </xf>
    <xf numFmtId="49" fontId="5" fillId="3" borderId="68" xfId="0" applyNumberFormat="1" applyFont="1" applyFill="1" applyBorder="1" applyAlignment="1">
      <alignment horizontal="left" vertical="top"/>
    </xf>
    <xf numFmtId="49" fontId="5" fillId="3" borderId="69" xfId="0" applyNumberFormat="1" applyFont="1" applyFill="1" applyBorder="1" applyAlignment="1">
      <alignment horizontal="left" vertical="top"/>
    </xf>
    <xf numFmtId="49" fontId="5" fillId="3" borderId="28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center" vertical="top"/>
    </xf>
    <xf numFmtId="49" fontId="5" fillId="3" borderId="26" xfId="0" applyNumberFormat="1" applyFont="1" applyFill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>
      <alignment horizontal="center" vertical="top"/>
    </xf>
    <xf numFmtId="49" fontId="5" fillId="0" borderId="26" xfId="0" applyNumberFormat="1" applyFont="1" applyBorder="1" applyAlignment="1">
      <alignment horizontal="center" vertical="top"/>
    </xf>
    <xf numFmtId="0" fontId="3" fillId="2" borderId="29" xfId="0" applyFont="1" applyFill="1" applyBorder="1" applyAlignment="1">
      <alignment vertical="top" wrapText="1"/>
    </xf>
    <xf numFmtId="0" fontId="3" fillId="2" borderId="27" xfId="0" applyFont="1" applyFill="1" applyBorder="1" applyAlignment="1">
      <alignment vertical="top" wrapText="1"/>
    </xf>
    <xf numFmtId="0" fontId="3" fillId="0" borderId="77" xfId="0" applyFont="1" applyFill="1" applyBorder="1" applyAlignment="1">
      <alignment horizontal="center" vertical="top" textRotation="90" wrapText="1"/>
    </xf>
    <xf numFmtId="0" fontId="3" fillId="0" borderId="40" xfId="0" applyFont="1" applyFill="1" applyBorder="1" applyAlignment="1">
      <alignment horizontal="center" vertical="top" textRotation="90" wrapText="1"/>
    </xf>
    <xf numFmtId="0" fontId="3" fillId="0" borderId="35" xfId="0" applyFont="1" applyFill="1" applyBorder="1" applyAlignment="1">
      <alignment horizontal="center" vertical="top" textRotation="90" wrapText="1"/>
    </xf>
    <xf numFmtId="0" fontId="3" fillId="0" borderId="10" xfId="1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166" fontId="9" fillId="0" borderId="28" xfId="0" applyNumberFormat="1" applyFont="1" applyFill="1" applyBorder="1" applyAlignment="1">
      <alignment horizontal="center" vertical="top"/>
    </xf>
    <xf numFmtId="166" fontId="9" fillId="0" borderId="17" xfId="0" applyNumberFormat="1" applyFont="1" applyFill="1" applyBorder="1" applyAlignment="1">
      <alignment horizontal="center" vertical="top"/>
    </xf>
    <xf numFmtId="0" fontId="5" fillId="2" borderId="29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 wrapText="1"/>
    </xf>
    <xf numFmtId="49" fontId="5" fillId="3" borderId="69" xfId="0" applyNumberFormat="1" applyFont="1" applyFill="1" applyBorder="1" applyAlignment="1">
      <alignment horizontal="right" vertical="top"/>
    </xf>
    <xf numFmtId="0" fontId="3" fillId="3" borderId="63" xfId="0" applyFont="1" applyFill="1" applyBorder="1" applyAlignment="1">
      <alignment horizontal="center" vertical="top" wrapText="1"/>
    </xf>
    <xf numFmtId="0" fontId="3" fillId="3" borderId="68" xfId="0" applyFont="1" applyFill="1" applyBorder="1" applyAlignment="1">
      <alignment horizontal="center" vertical="top" wrapText="1"/>
    </xf>
    <xf numFmtId="0" fontId="3" fillId="3" borderId="69" xfId="0" applyFont="1" applyFill="1" applyBorder="1" applyAlignment="1">
      <alignment horizontal="center" vertical="top" wrapText="1"/>
    </xf>
    <xf numFmtId="0" fontId="3" fillId="0" borderId="77" xfId="0" applyFont="1" applyFill="1" applyBorder="1" applyAlignment="1">
      <alignment horizontal="center" vertical="center" textRotation="90" wrapText="1"/>
    </xf>
    <xf numFmtId="0" fontId="3" fillId="0" borderId="35" xfId="0" applyFont="1" applyFill="1" applyBorder="1" applyAlignment="1">
      <alignment horizontal="center" vertical="center" textRotation="90" wrapText="1"/>
    </xf>
    <xf numFmtId="49" fontId="5" fillId="0" borderId="41" xfId="0" applyNumberFormat="1" applyFont="1" applyBorder="1" applyAlignment="1">
      <alignment horizontal="center" vertical="top"/>
    </xf>
    <xf numFmtId="49" fontId="5" fillId="0" borderId="30" xfId="0" applyNumberFormat="1" applyFont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/>
    </xf>
    <xf numFmtId="3" fontId="3" fillId="0" borderId="28" xfId="0" applyNumberFormat="1" applyFont="1" applyFill="1" applyBorder="1" applyAlignment="1">
      <alignment horizontal="center" vertical="top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9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5" fillId="3" borderId="79" xfId="0" applyFont="1" applyFill="1" applyBorder="1" applyAlignment="1">
      <alignment horizontal="left" vertical="top" wrapText="1"/>
    </xf>
    <xf numFmtId="0" fontId="5" fillId="3" borderId="68" xfId="0" applyFont="1" applyFill="1" applyBorder="1" applyAlignment="1">
      <alignment horizontal="left" vertical="top" wrapText="1"/>
    </xf>
    <xf numFmtId="0" fontId="5" fillId="3" borderId="69" xfId="0" applyFont="1" applyFill="1" applyBorder="1" applyAlignment="1">
      <alignment horizontal="left" vertical="top" wrapText="1"/>
    </xf>
    <xf numFmtId="49" fontId="5" fillId="8" borderId="17" xfId="0" applyNumberFormat="1" applyFont="1" applyFill="1" applyBorder="1" applyAlignment="1">
      <alignment horizontal="center" vertical="top" wrapText="1"/>
    </xf>
    <xf numFmtId="49" fontId="5" fillId="8" borderId="26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left" vertical="top" wrapText="1"/>
    </xf>
    <xf numFmtId="0" fontId="27" fillId="0" borderId="27" xfId="0" applyFont="1" applyFill="1" applyBorder="1" applyAlignment="1">
      <alignment horizontal="left" vertical="top" wrapText="1"/>
    </xf>
    <xf numFmtId="0" fontId="28" fillId="0" borderId="45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center" vertical="top" wrapText="1"/>
    </xf>
    <xf numFmtId="49" fontId="27" fillId="0" borderId="21" xfId="0" applyNumberFormat="1" applyFont="1" applyBorder="1" applyAlignment="1">
      <alignment horizontal="center" vertical="top" wrapText="1"/>
    </xf>
    <xf numFmtId="49" fontId="27" fillId="0" borderId="17" xfId="0" applyNumberFormat="1" applyFont="1" applyBorder="1" applyAlignment="1">
      <alignment horizontal="center" vertical="top" wrapText="1"/>
    </xf>
    <xf numFmtId="49" fontId="27" fillId="0" borderId="26" xfId="0" applyNumberFormat="1" applyFont="1" applyBorder="1" applyAlignment="1">
      <alignment horizontal="center" vertical="top" wrapText="1"/>
    </xf>
    <xf numFmtId="49" fontId="5" fillId="3" borderId="79" xfId="0" applyNumberFormat="1" applyFont="1" applyFill="1" applyBorder="1" applyAlignment="1">
      <alignment horizontal="right" vertical="top"/>
    </xf>
    <xf numFmtId="49" fontId="5" fillId="0" borderId="29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49" fontId="28" fillId="0" borderId="19" xfId="0" applyNumberFormat="1" applyFont="1" applyBorder="1" applyAlignment="1">
      <alignment horizontal="center" vertical="top"/>
    </xf>
    <xf numFmtId="49" fontId="28" fillId="0" borderId="27" xfId="0" applyNumberFormat="1" applyFont="1" applyBorder="1" applyAlignment="1">
      <alignment horizontal="center" vertical="top"/>
    </xf>
    <xf numFmtId="0" fontId="27" fillId="0" borderId="45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49" fontId="5" fillId="8" borderId="28" xfId="0" applyNumberFormat="1" applyFont="1" applyFill="1" applyBorder="1" applyAlignment="1">
      <alignment horizontal="center" vertical="top" wrapText="1"/>
    </xf>
    <xf numFmtId="49" fontId="5" fillId="0" borderId="28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49" fontId="5" fillId="3" borderId="62" xfId="0" applyNumberFormat="1" applyFont="1" applyFill="1" applyBorder="1" applyAlignment="1">
      <alignment horizontal="right" vertical="top"/>
    </xf>
    <xf numFmtId="49" fontId="5" fillId="3" borderId="30" xfId="0" applyNumberFormat="1" applyFont="1" applyFill="1" applyBorder="1" applyAlignment="1">
      <alignment horizontal="right" vertical="top"/>
    </xf>
    <xf numFmtId="49" fontId="5" fillId="4" borderId="79" xfId="0" applyNumberFormat="1" applyFont="1" applyFill="1" applyBorder="1" applyAlignment="1">
      <alignment horizontal="right" vertical="top"/>
    </xf>
    <xf numFmtId="49" fontId="5" fillId="4" borderId="68" xfId="0" applyNumberFormat="1" applyFont="1" applyFill="1" applyBorder="1" applyAlignment="1">
      <alignment horizontal="right" vertical="top"/>
    </xf>
    <xf numFmtId="49" fontId="5" fillId="4" borderId="69" xfId="0" applyNumberFormat="1" applyFont="1" applyFill="1" applyBorder="1" applyAlignment="1">
      <alignment horizontal="right" vertical="top"/>
    </xf>
    <xf numFmtId="0" fontId="3" fillId="4" borderId="63" xfId="0" applyFont="1" applyFill="1" applyBorder="1" applyAlignment="1">
      <alignment horizontal="center" vertical="top"/>
    </xf>
    <xf numFmtId="0" fontId="3" fillId="4" borderId="68" xfId="0" applyFont="1" applyFill="1" applyBorder="1" applyAlignment="1">
      <alignment horizontal="center" vertical="top"/>
    </xf>
    <xf numFmtId="0" fontId="3" fillId="4" borderId="69" xfId="0" applyFont="1" applyFill="1" applyBorder="1" applyAlignment="1">
      <alignment horizontal="center" vertical="top"/>
    </xf>
    <xf numFmtId="49" fontId="5" fillId="7" borderId="79" xfId="0" applyNumberFormat="1" applyFont="1" applyFill="1" applyBorder="1" applyAlignment="1">
      <alignment horizontal="right" vertical="top"/>
    </xf>
    <xf numFmtId="49" fontId="5" fillId="7" borderId="68" xfId="0" applyNumberFormat="1" applyFont="1" applyFill="1" applyBorder="1" applyAlignment="1">
      <alignment horizontal="right" vertical="top"/>
    </xf>
    <xf numFmtId="0" fontId="3" fillId="7" borderId="63" xfId="0" applyFont="1" applyFill="1" applyBorder="1" applyAlignment="1">
      <alignment horizontal="center" vertical="top"/>
    </xf>
    <xf numFmtId="0" fontId="3" fillId="7" borderId="68" xfId="0" applyFont="1" applyFill="1" applyBorder="1" applyAlignment="1">
      <alignment horizontal="center" vertical="top"/>
    </xf>
    <xf numFmtId="0" fontId="3" fillId="7" borderId="69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2" borderId="77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49" fontId="3" fillId="2" borderId="28" xfId="0" applyNumberFormat="1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0" fontId="5" fillId="2" borderId="5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3" fillId="2" borderId="57" xfId="0" applyNumberFormat="1" applyFont="1" applyFill="1" applyBorder="1" applyAlignment="1">
      <alignment horizontal="left" vertical="top" wrapText="1"/>
    </xf>
    <xf numFmtId="0" fontId="22" fillId="2" borderId="4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49" fontId="5" fillId="3" borderId="26" xfId="0" applyNumberFormat="1" applyFont="1" applyFill="1" applyBorder="1" applyAlignment="1">
      <alignment horizontal="center" vertical="top" wrapText="1"/>
    </xf>
    <xf numFmtId="0" fontId="3" fillId="2" borderId="62" xfId="0" applyFont="1" applyFill="1" applyBorder="1" applyAlignment="1">
      <alignment horizontal="left" vertical="top" wrapText="1"/>
    </xf>
    <xf numFmtId="0" fontId="3" fillId="0" borderId="45" xfId="1" applyFont="1" applyFill="1" applyBorder="1" applyAlignment="1">
      <alignment vertical="top" wrapText="1"/>
    </xf>
    <xf numFmtId="0" fontId="7" fillId="0" borderId="104" xfId="0" applyFont="1" applyBorder="1" applyAlignment="1">
      <alignment vertical="top" wrapText="1"/>
    </xf>
    <xf numFmtId="0" fontId="3" fillId="8" borderId="86" xfId="0" applyFont="1" applyFill="1" applyBorder="1" applyAlignment="1">
      <alignment horizontal="left" vertical="top" wrapText="1"/>
    </xf>
    <xf numFmtId="0" fontId="3" fillId="8" borderId="113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textRotation="90" shrinkToFit="1"/>
    </xf>
    <xf numFmtId="0" fontId="3" fillId="0" borderId="10" xfId="0" applyFont="1" applyBorder="1" applyAlignment="1">
      <alignment horizontal="center" vertical="center" textRotation="90" shrinkToFit="1"/>
    </xf>
    <xf numFmtId="0" fontId="3" fillId="0" borderId="11" xfId="0" applyFont="1" applyBorder="1" applyAlignment="1">
      <alignment horizontal="center" vertical="center" textRotation="90" shrinkToFit="1"/>
    </xf>
    <xf numFmtId="0" fontId="3" fillId="0" borderId="28" xfId="0" applyFont="1" applyBorder="1" applyAlignment="1">
      <alignment horizontal="center" vertical="center" textRotation="90" shrinkToFit="1"/>
    </xf>
    <xf numFmtId="0" fontId="3" fillId="0" borderId="17" xfId="0" applyFont="1" applyBorder="1" applyAlignment="1">
      <alignment horizontal="center" vertical="center" textRotation="90" shrinkToFit="1"/>
    </xf>
    <xf numFmtId="0" fontId="3" fillId="0" borderId="26" xfId="0" applyFont="1" applyBorder="1" applyAlignment="1">
      <alignment horizontal="center" vertical="center" textRotation="90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textRotation="90" shrinkToFit="1"/>
    </xf>
    <xf numFmtId="0" fontId="3" fillId="0" borderId="40" xfId="0" applyFont="1" applyBorder="1" applyAlignment="1">
      <alignment horizontal="center" vertical="center" textRotation="90" shrinkToFit="1"/>
    </xf>
    <xf numFmtId="0" fontId="3" fillId="0" borderId="35" xfId="0" applyFont="1" applyBorder="1" applyAlignment="1">
      <alignment horizontal="center" vertical="center" textRotation="90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textRotation="90" shrinkToFit="1"/>
    </xf>
    <xf numFmtId="0" fontId="3" fillId="0" borderId="9" xfId="0" applyFont="1" applyBorder="1" applyAlignment="1">
      <alignment horizontal="center" textRotation="90" shrinkToFit="1"/>
    </xf>
    <xf numFmtId="0" fontId="3" fillId="0" borderId="66" xfId="0" applyFont="1" applyBorder="1" applyAlignment="1">
      <alignment horizontal="center" textRotation="90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9" fillId="0" borderId="46" xfId="0" applyNumberFormat="1" applyFont="1" applyBorder="1" applyAlignment="1">
      <alignment horizontal="center" vertical="center" textRotation="90" shrinkToFit="1"/>
    </xf>
    <xf numFmtId="0" fontId="9" fillId="0" borderId="9" xfId="0" applyNumberFormat="1" applyFont="1" applyBorder="1" applyAlignment="1">
      <alignment horizontal="center" vertical="center" textRotation="90" shrinkToFit="1"/>
    </xf>
    <xf numFmtId="0" fontId="9" fillId="0" borderId="66" xfId="0" applyNumberFormat="1" applyFont="1" applyBorder="1" applyAlignment="1">
      <alignment horizontal="center" vertical="center" textRotation="90" shrinkToFit="1"/>
    </xf>
    <xf numFmtId="0" fontId="3" fillId="8" borderId="46" xfId="0" applyFont="1" applyFill="1" applyBorder="1" applyAlignment="1">
      <alignment horizontal="center" vertical="center" textRotation="90" wrapText="1" shrinkToFit="1"/>
    </xf>
    <xf numFmtId="0" fontId="7" fillId="8" borderId="9" xfId="0" applyFont="1" applyFill="1" applyBorder="1" applyAlignment="1">
      <alignment horizontal="center" vertical="center" textRotation="90" wrapText="1" shrinkToFit="1"/>
    </xf>
    <xf numFmtId="0" fontId="7" fillId="8" borderId="66" xfId="0" applyFont="1" applyFill="1" applyBorder="1" applyAlignment="1">
      <alignment horizontal="center" vertical="center" textRotation="90" wrapText="1" shrinkToFit="1"/>
    </xf>
    <xf numFmtId="0" fontId="3" fillId="0" borderId="46" xfId="0" applyFont="1" applyBorder="1" applyAlignment="1">
      <alignment horizontal="center" vertical="center" textRotation="90" shrinkToFit="1"/>
    </xf>
    <xf numFmtId="0" fontId="3" fillId="0" borderId="9" xfId="0" applyFont="1" applyBorder="1" applyAlignment="1">
      <alignment horizontal="center" vertical="center" textRotation="90" shrinkToFit="1"/>
    </xf>
    <xf numFmtId="0" fontId="3" fillId="0" borderId="66" xfId="0" applyFont="1" applyBorder="1" applyAlignment="1">
      <alignment horizontal="center" vertical="center" textRotation="90" shrinkToFit="1"/>
    </xf>
    <xf numFmtId="0" fontId="5" fillId="13" borderId="37" xfId="0" applyFont="1" applyFill="1" applyBorder="1" applyAlignment="1">
      <alignment horizontal="left" vertical="top"/>
    </xf>
    <xf numFmtId="0" fontId="5" fillId="13" borderId="43" xfId="0" applyFont="1" applyFill="1" applyBorder="1" applyAlignment="1">
      <alignment horizontal="left" vertical="top"/>
    </xf>
    <xf numFmtId="0" fontId="5" fillId="13" borderId="44" xfId="0" applyFont="1" applyFill="1" applyBorder="1" applyAlignment="1">
      <alignment horizontal="left" vertical="top"/>
    </xf>
    <xf numFmtId="0" fontId="3" fillId="8" borderId="48" xfId="0" applyFont="1" applyFill="1" applyBorder="1" applyAlignment="1">
      <alignment horizontal="left" vertical="top" wrapText="1"/>
    </xf>
    <xf numFmtId="0" fontId="3" fillId="8" borderId="50" xfId="0" applyFont="1" applyFill="1" applyBorder="1" applyAlignment="1">
      <alignment horizontal="left" vertical="top" wrapText="1"/>
    </xf>
    <xf numFmtId="0" fontId="3" fillId="8" borderId="32" xfId="0" applyFont="1" applyFill="1" applyBorder="1" applyAlignment="1">
      <alignment horizontal="left" vertical="top" wrapText="1"/>
    </xf>
    <xf numFmtId="0" fontId="8" fillId="0" borderId="45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3" fillId="0" borderId="103" xfId="0" applyFont="1" applyFill="1" applyBorder="1" applyAlignment="1">
      <alignment horizontal="center" vertical="center" textRotation="90" wrapText="1"/>
    </xf>
    <xf numFmtId="0" fontId="0" fillId="0" borderId="104" xfId="0" applyBorder="1" applyAlignment="1">
      <alignment horizontal="center" vertical="center" textRotation="90" wrapText="1"/>
    </xf>
    <xf numFmtId="49" fontId="5" fillId="0" borderId="108" xfId="0" applyNumberFormat="1" applyFont="1" applyBorder="1" applyAlignment="1">
      <alignment horizontal="center" vertical="top"/>
    </xf>
    <xf numFmtId="49" fontId="5" fillId="13" borderId="10" xfId="0" applyNumberFormat="1" applyFont="1" applyFill="1" applyBorder="1" applyAlignment="1">
      <alignment horizontal="center" vertical="top"/>
    </xf>
    <xf numFmtId="0" fontId="3" fillId="2" borderId="113" xfId="0" applyFont="1" applyFill="1" applyBorder="1" applyAlignment="1">
      <alignment horizontal="left" vertical="top" wrapText="1"/>
    </xf>
    <xf numFmtId="49" fontId="5" fillId="13" borderId="8" xfId="0" applyNumberFormat="1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82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center" vertical="center" textRotation="90" shrinkToFit="1"/>
    </xf>
    <xf numFmtId="0" fontId="2" fillId="0" borderId="31" xfId="0" applyFont="1" applyFill="1" applyBorder="1" applyAlignment="1">
      <alignment horizontal="center" vertical="center" textRotation="90" shrinkToFit="1"/>
    </xf>
    <xf numFmtId="0" fontId="2" fillId="0" borderId="45" xfId="0" applyFont="1" applyFill="1" applyBorder="1" applyAlignment="1">
      <alignment horizontal="center" vertical="center" textRotation="90" wrapText="1" shrinkToFit="1"/>
    </xf>
    <xf numFmtId="0" fontId="2" fillId="0" borderId="31" xfId="0" applyFont="1" applyFill="1" applyBorder="1" applyAlignment="1">
      <alignment horizontal="center" vertical="center" textRotation="90" wrapText="1" shrinkToFit="1"/>
    </xf>
    <xf numFmtId="0" fontId="3" fillId="8" borderId="37" xfId="0" applyFont="1" applyFill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2" fillId="0" borderId="16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45" xfId="0" applyFont="1" applyBorder="1" applyAlignment="1">
      <alignment vertical="center" textRotation="90"/>
    </xf>
    <xf numFmtId="0" fontId="0" fillId="0" borderId="33" xfId="0" applyBorder="1" applyAlignment="1">
      <alignment horizontal="center" vertical="top"/>
    </xf>
    <xf numFmtId="49" fontId="5" fillId="0" borderId="82" xfId="0" applyNumberFormat="1" applyFont="1" applyBorder="1" applyAlignment="1">
      <alignment horizontal="center" vertical="top"/>
    </xf>
    <xf numFmtId="0" fontId="3" fillId="2" borderId="110" xfId="0" applyFont="1" applyFill="1" applyBorder="1" applyAlignment="1">
      <alignment horizontal="left" vertical="top" wrapText="1"/>
    </xf>
    <xf numFmtId="0" fontId="3" fillId="0" borderId="104" xfId="0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horizontal="left" vertical="top" wrapText="1"/>
    </xf>
    <xf numFmtId="0" fontId="3" fillId="2" borderId="108" xfId="0" applyFont="1" applyFill="1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0" fontId="3" fillId="8" borderId="110" xfId="0" applyFont="1" applyFill="1" applyBorder="1" applyAlignment="1">
      <alignment horizontal="left" vertical="top" wrapText="1"/>
    </xf>
    <xf numFmtId="49" fontId="5" fillId="8" borderId="47" xfId="0" applyNumberFormat="1" applyFont="1" applyFill="1" applyBorder="1" applyAlignment="1">
      <alignment horizontal="center" vertical="top"/>
    </xf>
    <xf numFmtId="49" fontId="5" fillId="8" borderId="50" xfId="0" applyNumberFormat="1" applyFont="1" applyFill="1" applyBorder="1" applyAlignment="1">
      <alignment horizontal="center" vertical="top"/>
    </xf>
    <xf numFmtId="0" fontId="15" fillId="0" borderId="14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horizontal="left" vertical="top" wrapText="1"/>
    </xf>
    <xf numFmtId="0" fontId="0" fillId="0" borderId="90" xfId="0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1" fillId="0" borderId="104" xfId="0" applyFont="1" applyBorder="1" applyAlignment="1">
      <alignment horizontal="center" vertical="center" textRotation="90" wrapText="1"/>
    </xf>
    <xf numFmtId="0" fontId="15" fillId="0" borderId="19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center" textRotation="90" wrapText="1"/>
    </xf>
    <xf numFmtId="49" fontId="5" fillId="13" borderId="11" xfId="0" applyNumberFormat="1" applyFont="1" applyFill="1" applyBorder="1" applyAlignment="1">
      <alignment horizontal="center" vertical="top"/>
    </xf>
    <xf numFmtId="166" fontId="3" fillId="0" borderId="33" xfId="0" applyNumberFormat="1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166" fontId="3" fillId="0" borderId="34" xfId="0" applyNumberFormat="1" applyFont="1" applyFill="1" applyBorder="1" applyAlignment="1">
      <alignment horizontal="center" vertical="top" wrapText="1"/>
    </xf>
    <xf numFmtId="0" fontId="3" fillId="2" borderId="81" xfId="0" applyFont="1" applyFill="1" applyBorder="1" applyAlignment="1">
      <alignment horizontal="left" vertical="top" wrapText="1"/>
    </xf>
    <xf numFmtId="0" fontId="3" fillId="2" borderId="98" xfId="0" applyFont="1" applyFill="1" applyBorder="1" applyAlignment="1">
      <alignment horizontal="left" vertical="top" wrapText="1"/>
    </xf>
    <xf numFmtId="0" fontId="3" fillId="0" borderId="91" xfId="0" applyFont="1" applyFill="1" applyBorder="1" applyAlignment="1">
      <alignment horizontal="center" vertical="center" textRotation="90" wrapText="1"/>
    </xf>
    <xf numFmtId="0" fontId="3" fillId="0" borderId="96" xfId="0" applyFont="1" applyFill="1" applyBorder="1" applyAlignment="1">
      <alignment horizontal="center" vertical="center" textRotation="90" wrapText="1"/>
    </xf>
    <xf numFmtId="0" fontId="19" fillId="8" borderId="108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04" xfId="0" applyBorder="1" applyAlignment="1">
      <alignment horizontal="left" vertical="top" wrapText="1"/>
    </xf>
    <xf numFmtId="0" fontId="3" fillId="2" borderId="48" xfId="0" applyFont="1" applyFill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5" fillId="2" borderId="47" xfId="0" applyFont="1" applyFill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3" fillId="2" borderId="50" xfId="0" applyFont="1" applyFill="1" applyBorder="1" applyAlignment="1">
      <alignment vertical="top" wrapText="1"/>
    </xf>
    <xf numFmtId="0" fontId="3" fillId="2" borderId="32" xfId="0" applyFont="1" applyFill="1" applyBorder="1" applyAlignment="1">
      <alignment vertical="top" wrapText="1"/>
    </xf>
    <xf numFmtId="0" fontId="3" fillId="8" borderId="19" xfId="0" applyFont="1" applyFill="1" applyBorder="1" applyAlignment="1">
      <alignment horizontal="left" vertical="top" wrapText="1"/>
    </xf>
    <xf numFmtId="0" fontId="0" fillId="8" borderId="27" xfId="0" applyFill="1" applyBorder="1" applyAlignment="1">
      <alignment horizontal="left" vertical="top" wrapText="1"/>
    </xf>
    <xf numFmtId="49" fontId="5" fillId="13" borderId="10" xfId="0" applyNumberFormat="1" applyFont="1" applyFill="1" applyBorder="1" applyAlignment="1">
      <alignment horizontal="center" vertical="top" wrapText="1"/>
    </xf>
    <xf numFmtId="49" fontId="5" fillId="13" borderId="11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49" fontId="5" fillId="13" borderId="79" xfId="0" applyNumberFormat="1" applyFont="1" applyFill="1" applyBorder="1" applyAlignment="1">
      <alignment horizontal="right" vertical="top"/>
    </xf>
    <xf numFmtId="49" fontId="5" fillId="13" borderId="68" xfId="0" applyNumberFormat="1" applyFont="1" applyFill="1" applyBorder="1" applyAlignment="1">
      <alignment horizontal="right" vertical="top"/>
    </xf>
    <xf numFmtId="49" fontId="5" fillId="13" borderId="69" xfId="0" applyNumberFormat="1" applyFont="1" applyFill="1" applyBorder="1" applyAlignment="1">
      <alignment horizontal="right" vertical="top"/>
    </xf>
    <xf numFmtId="0" fontId="3" fillId="13" borderId="63" xfId="0" applyFont="1" applyFill="1" applyBorder="1" applyAlignment="1">
      <alignment horizontal="center" vertical="top"/>
    </xf>
    <xf numFmtId="0" fontId="3" fillId="13" borderId="68" xfId="0" applyFont="1" applyFill="1" applyBorder="1" applyAlignment="1">
      <alignment horizontal="center" vertical="top"/>
    </xf>
    <xf numFmtId="0" fontId="3" fillId="13" borderId="69" xfId="0" applyFont="1" applyFill="1" applyBorder="1" applyAlignment="1">
      <alignment horizontal="center" vertical="top"/>
    </xf>
    <xf numFmtId="49" fontId="5" fillId="5" borderId="79" xfId="0" applyNumberFormat="1" applyFont="1" applyFill="1" applyBorder="1" applyAlignment="1">
      <alignment horizontal="right" vertical="top"/>
    </xf>
    <xf numFmtId="49" fontId="5" fillId="5" borderId="68" xfId="0" applyNumberFormat="1" applyFont="1" applyFill="1" applyBorder="1" applyAlignment="1">
      <alignment horizontal="right" vertical="top"/>
    </xf>
    <xf numFmtId="49" fontId="5" fillId="5" borderId="69" xfId="0" applyNumberFormat="1" applyFont="1" applyFill="1" applyBorder="1" applyAlignment="1">
      <alignment horizontal="right" vertical="top"/>
    </xf>
    <xf numFmtId="0" fontId="3" fillId="5" borderId="63" xfId="0" applyFont="1" applyFill="1" applyBorder="1" applyAlignment="1">
      <alignment horizontal="center" vertical="top"/>
    </xf>
    <xf numFmtId="0" fontId="3" fillId="5" borderId="68" xfId="0" applyFont="1" applyFill="1" applyBorder="1" applyAlignment="1">
      <alignment horizontal="center" vertical="top"/>
    </xf>
    <xf numFmtId="0" fontId="3" fillId="5" borderId="69" xfId="0" applyFont="1" applyFill="1" applyBorder="1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0" fontId="3" fillId="0" borderId="76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8" xfId="0" applyFont="1" applyFill="1" applyBorder="1" applyAlignment="1">
      <alignment vertical="top" wrapText="1"/>
    </xf>
    <xf numFmtId="0" fontId="7" fillId="0" borderId="62" xfId="0" applyFont="1" applyBorder="1" applyAlignment="1">
      <alignment vertical="top" wrapText="1"/>
    </xf>
    <xf numFmtId="0" fontId="5" fillId="6" borderId="35" xfId="0" applyFont="1" applyFill="1" applyBorder="1" applyAlignment="1">
      <alignment horizontal="right" vertical="top" wrapText="1"/>
    </xf>
    <xf numFmtId="0" fontId="5" fillId="6" borderId="30" xfId="0" applyFont="1" applyFill="1" applyBorder="1" applyAlignment="1">
      <alignment horizontal="right" vertical="top" wrapText="1"/>
    </xf>
    <xf numFmtId="0" fontId="5" fillId="6" borderId="36" xfId="0" applyFont="1" applyFill="1" applyBorder="1" applyAlignment="1">
      <alignment horizontal="right" vertical="top" wrapText="1"/>
    </xf>
    <xf numFmtId="0" fontId="3" fillId="2" borderId="70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55" xfId="0" applyFont="1" applyFill="1" applyBorder="1" applyAlignment="1">
      <alignment horizontal="left" vertical="top" wrapText="1"/>
    </xf>
    <xf numFmtId="0" fontId="3" fillId="2" borderId="76" xfId="0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5" fillId="5" borderId="76" xfId="0" applyFont="1" applyFill="1" applyBorder="1" applyAlignment="1">
      <alignment horizontal="right" vertical="top" wrapText="1"/>
    </xf>
    <xf numFmtId="0" fontId="5" fillId="5" borderId="43" xfId="0" applyFont="1" applyFill="1" applyBorder="1" applyAlignment="1">
      <alignment horizontal="right" vertical="top" wrapText="1"/>
    </xf>
    <xf numFmtId="0" fontId="5" fillId="5" borderId="44" xfId="0" applyFont="1" applyFill="1" applyBorder="1" applyAlignment="1">
      <alignment horizontal="righ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5" fillId="5" borderId="78" xfId="0" applyFont="1" applyFill="1" applyBorder="1" applyAlignment="1">
      <alignment horizontal="right" vertical="top" wrapText="1"/>
    </xf>
    <xf numFmtId="0" fontId="5" fillId="5" borderId="71" xfId="0" applyFont="1" applyFill="1" applyBorder="1" applyAlignment="1">
      <alignment horizontal="right" vertical="top" wrapText="1"/>
    </xf>
    <xf numFmtId="0" fontId="5" fillId="5" borderId="65" xfId="0" applyFont="1" applyFill="1" applyBorder="1" applyAlignment="1">
      <alignment horizontal="right" vertical="top" wrapText="1"/>
    </xf>
    <xf numFmtId="0" fontId="3" fillId="0" borderId="70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41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6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3" fontId="5" fillId="6" borderId="35" xfId="0" applyNumberFormat="1" applyFont="1" applyFill="1" applyBorder="1" applyAlignment="1">
      <alignment horizontal="center" vertical="top" wrapText="1"/>
    </xf>
    <xf numFmtId="3" fontId="5" fillId="6" borderId="30" xfId="0" applyNumberFormat="1" applyFont="1" applyFill="1" applyBorder="1" applyAlignment="1">
      <alignment horizontal="center" vertical="top" wrapText="1"/>
    </xf>
    <xf numFmtId="3" fontId="5" fillId="6" borderId="36" xfId="0" applyNumberFormat="1" applyFont="1" applyFill="1" applyBorder="1" applyAlignment="1">
      <alignment horizontal="center" vertical="top" wrapText="1"/>
    </xf>
    <xf numFmtId="3" fontId="3" fillId="0" borderId="76" xfId="0" applyNumberFormat="1" applyFont="1" applyBorder="1" applyAlignment="1">
      <alignment horizontal="center" vertical="top" wrapText="1"/>
    </xf>
    <xf numFmtId="3" fontId="3" fillId="0" borderId="43" xfId="0" applyNumberFormat="1" applyFont="1" applyBorder="1" applyAlignment="1">
      <alignment horizontal="center" vertical="top" wrapText="1"/>
    </xf>
    <xf numFmtId="3" fontId="3" fillId="0" borderId="44" xfId="0" applyNumberFormat="1" applyFont="1" applyBorder="1" applyAlignment="1">
      <alignment horizontal="center" vertical="top" wrapText="1"/>
    </xf>
    <xf numFmtId="3" fontId="5" fillId="5" borderId="76" xfId="0" applyNumberFormat="1" applyFont="1" applyFill="1" applyBorder="1" applyAlignment="1">
      <alignment horizontal="center" vertical="top" wrapText="1"/>
    </xf>
    <xf numFmtId="3" fontId="5" fillId="5" borderId="43" xfId="0" applyNumberFormat="1" applyFont="1" applyFill="1" applyBorder="1" applyAlignment="1">
      <alignment horizontal="center" vertical="top" wrapText="1"/>
    </xf>
    <xf numFmtId="3" fontId="5" fillId="5" borderId="44" xfId="0" applyNumberFormat="1" applyFont="1" applyFill="1" applyBorder="1" applyAlignment="1">
      <alignment horizontal="center" vertical="top" wrapText="1"/>
    </xf>
    <xf numFmtId="3" fontId="5" fillId="5" borderId="78" xfId="0" applyNumberFormat="1" applyFont="1" applyFill="1" applyBorder="1" applyAlignment="1">
      <alignment horizontal="center" vertical="top" wrapText="1"/>
    </xf>
    <xf numFmtId="3" fontId="5" fillId="5" borderId="71" xfId="0" applyNumberFormat="1" applyFont="1" applyFill="1" applyBorder="1" applyAlignment="1">
      <alignment horizontal="center" vertical="top" wrapText="1"/>
    </xf>
    <xf numFmtId="3" fontId="5" fillId="5" borderId="65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38" fillId="0" borderId="63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5" fillId="14" borderId="79" xfId="0" applyNumberFormat="1" applyFont="1" applyFill="1" applyBorder="1" applyAlignment="1">
      <alignment horizontal="right" vertical="top"/>
    </xf>
    <xf numFmtId="49" fontId="5" fillId="14" borderId="68" xfId="0" applyNumberFormat="1" applyFont="1" applyFill="1" applyBorder="1" applyAlignment="1">
      <alignment horizontal="right" vertical="top"/>
    </xf>
    <xf numFmtId="49" fontId="5" fillId="14" borderId="69" xfId="0" applyNumberFormat="1" applyFont="1" applyFill="1" applyBorder="1" applyAlignment="1">
      <alignment horizontal="right" vertical="top"/>
    </xf>
    <xf numFmtId="0" fontId="3" fillId="14" borderId="63" xfId="0" applyFont="1" applyFill="1" applyBorder="1" applyAlignment="1">
      <alignment horizontal="center" vertical="top"/>
    </xf>
    <xf numFmtId="0" fontId="3" fillId="14" borderId="68" xfId="0" applyFont="1" applyFill="1" applyBorder="1" applyAlignment="1">
      <alignment horizontal="center" vertical="top"/>
    </xf>
    <xf numFmtId="0" fontId="3" fillId="14" borderId="69" xfId="0" applyFont="1" applyFill="1" applyBorder="1" applyAlignment="1">
      <alignment horizontal="center" vertical="top"/>
    </xf>
    <xf numFmtId="0" fontId="5" fillId="5" borderId="63" xfId="0" applyFont="1" applyFill="1" applyBorder="1" applyAlignment="1">
      <alignment horizontal="left" vertical="top" wrapText="1"/>
    </xf>
    <xf numFmtId="0" fontId="5" fillId="5" borderId="68" xfId="0" applyFont="1" applyFill="1" applyBorder="1" applyAlignment="1">
      <alignment horizontal="left" vertical="top" wrapText="1"/>
    </xf>
    <xf numFmtId="0" fontId="5" fillId="5" borderId="69" xfId="0" applyFont="1" applyFill="1" applyBorder="1" applyAlignment="1">
      <alignment horizontal="left" vertical="top" wrapText="1"/>
    </xf>
    <xf numFmtId="0" fontId="5" fillId="14" borderId="79" xfId="0" applyFont="1" applyFill="1" applyBorder="1" applyAlignment="1">
      <alignment horizontal="left" vertical="top"/>
    </xf>
    <xf numFmtId="0" fontId="5" fillId="14" borderId="68" xfId="0" applyFont="1" applyFill="1" applyBorder="1" applyAlignment="1">
      <alignment horizontal="left" vertical="top"/>
    </xf>
    <xf numFmtId="0" fontId="5" fillId="14" borderId="69" xfId="0" applyFont="1" applyFill="1" applyBorder="1" applyAlignment="1">
      <alignment horizontal="left" vertical="top"/>
    </xf>
    <xf numFmtId="0" fontId="5" fillId="3" borderId="41" xfId="0" applyFont="1" applyFill="1" applyBorder="1" applyAlignment="1">
      <alignment horizontal="left" vertical="top" wrapText="1"/>
    </xf>
    <xf numFmtId="0" fontId="5" fillId="3" borderId="54" xfId="0" applyFont="1" applyFill="1" applyBorder="1" applyAlignment="1">
      <alignment horizontal="left" vertical="top" wrapText="1"/>
    </xf>
    <xf numFmtId="49" fontId="5" fillId="14" borderId="8" xfId="0" applyNumberFormat="1" applyFont="1" applyFill="1" applyBorder="1" applyAlignment="1">
      <alignment horizontal="center" vertical="top"/>
    </xf>
    <xf numFmtId="49" fontId="5" fillId="14" borderId="10" xfId="0" applyNumberFormat="1" applyFont="1" applyFill="1" applyBorder="1" applyAlignment="1">
      <alignment horizontal="center" vertical="top"/>
    </xf>
    <xf numFmtId="49" fontId="5" fillId="14" borderId="11" xfId="0" applyNumberFormat="1" applyFont="1" applyFill="1" applyBorder="1" applyAlignment="1">
      <alignment horizontal="center" vertical="top"/>
    </xf>
    <xf numFmtId="49" fontId="5" fillId="5" borderId="17" xfId="0" applyNumberFormat="1" applyFont="1" applyFill="1" applyBorder="1" applyAlignment="1">
      <alignment horizontal="center" vertical="top"/>
    </xf>
    <xf numFmtId="49" fontId="5" fillId="5" borderId="26" xfId="0" applyNumberFormat="1" applyFont="1" applyFill="1" applyBorder="1" applyAlignment="1">
      <alignment horizontal="center" vertical="top"/>
    </xf>
    <xf numFmtId="49" fontId="5" fillId="0" borderId="39" xfId="0" applyNumberFormat="1" applyFont="1" applyBorder="1" applyAlignment="1">
      <alignment horizontal="center" vertical="top"/>
    </xf>
    <xf numFmtId="49" fontId="5" fillId="0" borderId="75" xfId="0" applyNumberFormat="1" applyFont="1" applyBorder="1" applyAlignment="1">
      <alignment horizontal="center" vertical="top"/>
    </xf>
    <xf numFmtId="49" fontId="5" fillId="9" borderId="63" xfId="0" applyNumberFormat="1" applyFont="1" applyFill="1" applyBorder="1" applyAlignment="1">
      <alignment horizontal="left" vertical="top" wrapText="1"/>
    </xf>
    <xf numFmtId="49" fontId="5" fillId="9" borderId="68" xfId="0" applyNumberFormat="1" applyFont="1" applyFill="1" applyBorder="1" applyAlignment="1">
      <alignment horizontal="left" vertical="top" wrapText="1"/>
    </xf>
    <xf numFmtId="49" fontId="5" fillId="9" borderId="69" xfId="0" applyNumberFormat="1" applyFont="1" applyFill="1" applyBorder="1" applyAlignment="1">
      <alignment horizontal="left" vertical="top" wrapText="1"/>
    </xf>
    <xf numFmtId="0" fontId="38" fillId="0" borderId="78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center" vertical="center" textRotation="90" wrapText="1"/>
    </xf>
    <xf numFmtId="0" fontId="22" fillId="0" borderId="66" xfId="0" applyFont="1" applyBorder="1" applyAlignment="1">
      <alignment horizontal="center" vertical="center" textRotation="90" wrapText="1"/>
    </xf>
    <xf numFmtId="0" fontId="38" fillId="0" borderId="78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 textRotation="90" wrapText="1"/>
    </xf>
    <xf numFmtId="0" fontId="3" fillId="8" borderId="11" xfId="0" applyFont="1" applyFill="1" applyBorder="1" applyAlignment="1">
      <alignment horizontal="center" vertical="center" textRotation="90" wrapText="1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27" xfId="0" applyFont="1" applyFill="1" applyBorder="1" applyAlignment="1">
      <alignment horizontal="center" vertical="center" textRotation="90" wrapText="1"/>
    </xf>
    <xf numFmtId="0" fontId="39" fillId="0" borderId="45" xfId="0" applyFont="1" applyBorder="1" applyAlignment="1">
      <alignment horizontal="center" vertical="center" textRotation="90" wrapText="1"/>
    </xf>
    <xf numFmtId="0" fontId="39" fillId="0" borderId="11" xfId="0" applyFont="1" applyBorder="1" applyAlignment="1">
      <alignment horizontal="center" vertical="center" textRotation="90" wrapText="1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textRotation="90" wrapText="1"/>
    </xf>
    <xf numFmtId="0" fontId="39" fillId="0" borderId="27" xfId="0" applyFont="1" applyFill="1" applyBorder="1" applyAlignment="1">
      <alignment horizontal="center" vertical="center" textRotation="90" wrapText="1"/>
    </xf>
    <xf numFmtId="0" fontId="3" fillId="0" borderId="46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6" xfId="0" applyNumberFormat="1" applyFont="1" applyFill="1" applyBorder="1" applyAlignment="1">
      <alignment horizontal="center" vertical="center" wrapText="1"/>
    </xf>
    <xf numFmtId="0" fontId="5" fillId="8" borderId="78" xfId="0" applyFont="1" applyFill="1" applyBorder="1" applyAlignment="1">
      <alignment horizontal="center" vertical="center" wrapText="1"/>
    </xf>
    <xf numFmtId="0" fontId="5" fillId="8" borderId="71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1" fillId="0" borderId="4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7" fillId="13" borderId="37" xfId="0" applyFont="1" applyFill="1" applyBorder="1" applyAlignment="1">
      <alignment horizontal="right"/>
    </xf>
    <xf numFmtId="0" fontId="47" fillId="13" borderId="43" xfId="0" applyFont="1" applyFill="1" applyBorder="1" applyAlignment="1">
      <alignment horizontal="right"/>
    </xf>
    <xf numFmtId="0" fontId="47" fillId="13" borderId="38" xfId="0" applyFont="1" applyFill="1" applyBorder="1" applyAlignment="1">
      <alignment horizontal="right"/>
    </xf>
    <xf numFmtId="0" fontId="46" fillId="2" borderId="21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 vertical="top" wrapText="1"/>
    </xf>
    <xf numFmtId="0" fontId="47" fillId="11" borderId="43" xfId="0" applyFont="1" applyFill="1" applyBorder="1" applyAlignment="1">
      <alignment horizontal="center" vertical="top" wrapText="1"/>
    </xf>
    <xf numFmtId="0" fontId="47" fillId="11" borderId="38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7" fillId="21" borderId="37" xfId="0" applyFont="1" applyFill="1" applyBorder="1" applyAlignment="1">
      <alignment horizontal="right"/>
    </xf>
    <xf numFmtId="0" fontId="47" fillId="21" borderId="43" xfId="0" applyFont="1" applyFill="1" applyBorder="1" applyAlignment="1">
      <alignment horizontal="right"/>
    </xf>
    <xf numFmtId="0" fontId="47" fillId="21" borderId="38" xfId="0" applyFont="1" applyFill="1" applyBorder="1" applyAlignment="1">
      <alignment horizontal="right"/>
    </xf>
    <xf numFmtId="0" fontId="47" fillId="20" borderId="37" xfId="0" applyFont="1" applyFill="1" applyBorder="1" applyAlignment="1">
      <alignment horizontal="right"/>
    </xf>
    <xf numFmtId="0" fontId="47" fillId="20" borderId="43" xfId="0" applyFont="1" applyFill="1" applyBorder="1" applyAlignment="1">
      <alignment horizontal="right"/>
    </xf>
    <xf numFmtId="0" fontId="47" fillId="20" borderId="38" xfId="0" applyFont="1" applyFill="1" applyBorder="1" applyAlignment="1">
      <alignment horizontal="right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7" fillId="17" borderId="2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6" fillId="0" borderId="21" xfId="3" applyNumberFormat="1" applyFont="1" applyBorder="1" applyAlignment="1">
      <alignment horizontal="center" vertical="center" wrapText="1"/>
    </xf>
    <xf numFmtId="0" fontId="46" fillId="0" borderId="17" xfId="3" applyNumberFormat="1" applyFont="1" applyBorder="1" applyAlignment="1">
      <alignment horizontal="center" vertical="center" wrapText="1"/>
    </xf>
    <xf numFmtId="0" fontId="46" fillId="0" borderId="34" xfId="3" applyNumberFormat="1" applyFont="1" applyBorder="1" applyAlignment="1">
      <alignment horizontal="center" vertical="center" wrapText="1"/>
    </xf>
    <xf numFmtId="0" fontId="46" fillId="2" borderId="21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 wrapText="1"/>
    </xf>
    <xf numFmtId="0" fontId="48" fillId="2" borderId="17" xfId="0" applyFont="1" applyFill="1" applyBorder="1" applyAlignment="1">
      <alignment horizontal="center" vertical="center" wrapText="1"/>
    </xf>
    <xf numFmtId="0" fontId="48" fillId="2" borderId="34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7" fillId="17" borderId="37" xfId="0" applyFont="1" applyFill="1" applyBorder="1" applyAlignment="1">
      <alignment horizontal="left"/>
    </xf>
    <xf numFmtId="0" fontId="47" fillId="17" borderId="43" xfId="0" applyFont="1" applyFill="1" applyBorder="1" applyAlignment="1">
      <alignment horizontal="left"/>
    </xf>
    <xf numFmtId="0" fontId="47" fillId="17" borderId="38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7" fillId="15" borderId="37" xfId="0" applyFont="1" applyFill="1" applyBorder="1" applyAlignment="1">
      <alignment horizontal="left"/>
    </xf>
    <xf numFmtId="0" fontId="47" fillId="15" borderId="43" xfId="0" applyFont="1" applyFill="1" applyBorder="1" applyAlignment="1">
      <alignment horizontal="left"/>
    </xf>
    <xf numFmtId="0" fontId="47" fillId="15" borderId="38" xfId="0" applyFont="1" applyFill="1" applyBorder="1" applyAlignment="1">
      <alignment horizontal="left"/>
    </xf>
    <xf numFmtId="164" fontId="46" fillId="0" borderId="21" xfId="3" applyFont="1" applyBorder="1" applyAlignment="1">
      <alignment horizontal="center" vertical="center" wrapText="1"/>
    </xf>
    <xf numFmtId="164" fontId="46" fillId="0" borderId="17" xfId="3" applyFont="1" applyBorder="1" applyAlignment="1">
      <alignment horizontal="center" vertical="center" wrapText="1"/>
    </xf>
    <xf numFmtId="164" fontId="46" fillId="0" borderId="34" xfId="3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7" fillId="19" borderId="37" xfId="0" applyFont="1" applyFill="1" applyBorder="1" applyAlignment="1">
      <alignment horizontal="left"/>
    </xf>
    <xf numFmtId="0" fontId="47" fillId="19" borderId="43" xfId="0" applyFont="1" applyFill="1" applyBorder="1" applyAlignment="1">
      <alignment horizontal="left"/>
    </xf>
    <xf numFmtId="0" fontId="47" fillId="19" borderId="38" xfId="0" applyFont="1" applyFill="1" applyBorder="1" applyAlignment="1">
      <alignment horizontal="left"/>
    </xf>
    <xf numFmtId="0" fontId="46" fillId="0" borderId="21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1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0" fontId="47" fillId="0" borderId="21" xfId="0" applyFont="1" applyBorder="1" applyAlignment="1">
      <alignment horizontal="center" vertical="top" wrapText="1"/>
    </xf>
    <xf numFmtId="0" fontId="47" fillId="0" borderId="34" xfId="0" applyFont="1" applyBorder="1" applyAlignment="1">
      <alignment horizontal="center" vertical="top" wrapText="1"/>
    </xf>
    <xf numFmtId="0" fontId="47" fillId="0" borderId="37" xfId="0" applyFont="1" applyBorder="1" applyAlignment="1">
      <alignment horizontal="center" vertical="top" wrapText="1"/>
    </xf>
    <xf numFmtId="0" fontId="47" fillId="0" borderId="38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15" borderId="2" xfId="0" applyFont="1" applyFill="1" applyBorder="1" applyAlignment="1">
      <alignment horizontal="left"/>
    </xf>
    <xf numFmtId="0" fontId="48" fillId="0" borderId="21" xfId="0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17" borderId="43" xfId="0" applyFont="1" applyFill="1" applyBorder="1" applyAlignment="1">
      <alignment horizontal="left"/>
    </xf>
    <xf numFmtId="0" fontId="46" fillId="17" borderId="38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6" fillId="8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4">
    <cellStyle name="Įprastas" xfId="0" builtinId="0"/>
    <cellStyle name="Įprastas 2" xfId="1"/>
    <cellStyle name="Stilius 1" xfId="2"/>
    <cellStyle name="Valiuta" xfId="3" builtinId="4"/>
  </cellStyles>
  <dxfs count="0"/>
  <tableStyles count="0" defaultTableStyle="TableStyleMedium2" defaultPivotStyle="PivotStyleLight16"/>
  <colors>
    <mruColors>
      <color rgb="FFFFCCFF"/>
      <color rgb="FFCCFFCC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84"/>
  <sheetViews>
    <sheetView view="pageBreakPreview" topLeftCell="A147" zoomScaleNormal="100" zoomScaleSheetLayoutView="100" workbookViewId="0">
      <selection activeCell="D189" sqref="D189"/>
    </sheetView>
  </sheetViews>
  <sheetFormatPr defaultRowHeight="12.75" x14ac:dyDescent="0.2"/>
  <cols>
    <col min="1" max="3" width="2.7109375" style="10" customWidth="1"/>
    <col min="4" max="4" width="29.42578125" style="10" customWidth="1"/>
    <col min="5" max="5" width="2.7109375" style="47" customWidth="1"/>
    <col min="6" max="6" width="2.7109375" style="10" customWidth="1"/>
    <col min="7" max="7" width="2.7109375" style="64" customWidth="1"/>
    <col min="8" max="8" width="7.7109375" style="90" customWidth="1"/>
    <col min="9" max="9" width="8.5703125" style="10" customWidth="1"/>
    <col min="10" max="10" width="7.42578125" style="10" customWidth="1"/>
    <col min="11" max="11" width="6.140625" style="10" customWidth="1"/>
    <col min="12" max="12" width="6.7109375" style="10" customWidth="1"/>
    <col min="13" max="13" width="8.140625" style="10" customWidth="1"/>
    <col min="14" max="14" width="7.5703125" style="10" customWidth="1"/>
    <col min="15" max="15" width="23.5703125" style="10" customWidth="1"/>
    <col min="16" max="17" width="3.7109375" style="10" customWidth="1"/>
    <col min="18" max="18" width="3.85546875" style="10" customWidth="1"/>
    <col min="19" max="16384" width="9.140625" style="5"/>
  </cols>
  <sheetData>
    <row r="1" spans="1:22" ht="15.75" x14ac:dyDescent="0.2">
      <c r="O1" s="1624" t="s">
        <v>220</v>
      </c>
      <c r="P1" s="1625"/>
      <c r="Q1" s="1625"/>
      <c r="R1" s="1625"/>
    </row>
    <row r="2" spans="1:22" ht="15.75" x14ac:dyDescent="0.2">
      <c r="A2" s="1382" t="s">
        <v>202</v>
      </c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  <c r="N2" s="1382"/>
      <c r="O2" s="1382"/>
      <c r="P2" s="1382"/>
      <c r="Q2" s="1382"/>
      <c r="R2" s="1382"/>
    </row>
    <row r="3" spans="1:22" ht="15.75" x14ac:dyDescent="0.2">
      <c r="A3" s="1383" t="s">
        <v>37</v>
      </c>
      <c r="B3" s="1383"/>
      <c r="C3" s="1383"/>
      <c r="D3" s="1383"/>
      <c r="E3" s="1383"/>
      <c r="F3" s="1383"/>
      <c r="G3" s="1383"/>
      <c r="H3" s="1383"/>
      <c r="I3" s="1383"/>
      <c r="J3" s="1383"/>
      <c r="K3" s="1383"/>
      <c r="L3" s="1383"/>
      <c r="M3" s="1383"/>
      <c r="N3" s="1383"/>
      <c r="O3" s="1383"/>
      <c r="P3" s="1383"/>
      <c r="Q3" s="1383"/>
      <c r="R3" s="1383"/>
    </row>
    <row r="4" spans="1:22" ht="15.75" x14ac:dyDescent="0.2">
      <c r="A4" s="1384" t="s">
        <v>23</v>
      </c>
      <c r="B4" s="1384"/>
      <c r="C4" s="1384"/>
      <c r="D4" s="1384"/>
      <c r="E4" s="1384"/>
      <c r="F4" s="1384"/>
      <c r="G4" s="1384"/>
      <c r="H4" s="1384"/>
      <c r="I4" s="1384"/>
      <c r="J4" s="1384"/>
      <c r="K4" s="1384"/>
      <c r="L4" s="1384"/>
      <c r="M4" s="1384"/>
      <c r="N4" s="1384"/>
      <c r="O4" s="1384"/>
      <c r="P4" s="1384"/>
      <c r="Q4" s="1384"/>
      <c r="R4" s="1384"/>
      <c r="S4" s="1"/>
      <c r="T4" s="1"/>
      <c r="U4" s="1"/>
      <c r="V4" s="1"/>
    </row>
    <row r="5" spans="1:22" ht="13.5" thickBot="1" x14ac:dyDescent="0.25">
      <c r="P5" s="1385" t="s">
        <v>0</v>
      </c>
      <c r="Q5" s="1385"/>
      <c r="R5" s="1385"/>
    </row>
    <row r="6" spans="1:22" ht="21.75" customHeight="1" x14ac:dyDescent="0.2">
      <c r="A6" s="1386" t="s">
        <v>24</v>
      </c>
      <c r="B6" s="1389" t="s">
        <v>1</v>
      </c>
      <c r="C6" s="1389" t="s">
        <v>2</v>
      </c>
      <c r="D6" s="1392" t="s">
        <v>16</v>
      </c>
      <c r="E6" s="1395" t="s">
        <v>3</v>
      </c>
      <c r="F6" s="1426" t="s">
        <v>189</v>
      </c>
      <c r="G6" s="1429" t="s">
        <v>4</v>
      </c>
      <c r="H6" s="1432" t="s">
        <v>5</v>
      </c>
      <c r="I6" s="1417" t="s">
        <v>141</v>
      </c>
      <c r="J6" s="1418"/>
      <c r="K6" s="1418"/>
      <c r="L6" s="1419"/>
      <c r="M6" s="1420" t="s">
        <v>33</v>
      </c>
      <c r="N6" s="1420" t="s">
        <v>142</v>
      </c>
      <c r="O6" s="1423" t="s">
        <v>15</v>
      </c>
      <c r="P6" s="1424"/>
      <c r="Q6" s="1424"/>
      <c r="R6" s="1425"/>
    </row>
    <row r="7" spans="1:22" ht="11.25" customHeight="1" x14ac:dyDescent="0.2">
      <c r="A7" s="1387"/>
      <c r="B7" s="1390"/>
      <c r="C7" s="1390"/>
      <c r="D7" s="1393"/>
      <c r="E7" s="1396"/>
      <c r="F7" s="1427"/>
      <c r="G7" s="1430"/>
      <c r="H7" s="1433"/>
      <c r="I7" s="1398" t="s">
        <v>6</v>
      </c>
      <c r="J7" s="1399" t="s">
        <v>7</v>
      </c>
      <c r="K7" s="1400"/>
      <c r="L7" s="1401" t="s">
        <v>22</v>
      </c>
      <c r="M7" s="1421"/>
      <c r="N7" s="1421"/>
      <c r="O7" s="1403" t="s">
        <v>16</v>
      </c>
      <c r="P7" s="1399" t="s">
        <v>8</v>
      </c>
      <c r="Q7" s="1405"/>
      <c r="R7" s="1406"/>
    </row>
    <row r="8" spans="1:22" ht="70.5" customHeight="1" thickBot="1" x14ac:dyDescent="0.25">
      <c r="A8" s="1388"/>
      <c r="B8" s="1391"/>
      <c r="C8" s="1391"/>
      <c r="D8" s="1394"/>
      <c r="E8" s="1397"/>
      <c r="F8" s="1428"/>
      <c r="G8" s="1431"/>
      <c r="H8" s="1434"/>
      <c r="I8" s="1388"/>
      <c r="J8" s="7" t="s">
        <v>6</v>
      </c>
      <c r="K8" s="6" t="s">
        <v>17</v>
      </c>
      <c r="L8" s="1402"/>
      <c r="M8" s="1422"/>
      <c r="N8" s="1422"/>
      <c r="O8" s="1404"/>
      <c r="P8" s="8" t="s">
        <v>34</v>
      </c>
      <c r="Q8" s="8" t="s">
        <v>35</v>
      </c>
      <c r="R8" s="9" t="s">
        <v>143</v>
      </c>
    </row>
    <row r="9" spans="1:22" s="30" customFormat="1" x14ac:dyDescent="0.2">
      <c r="A9" s="1414" t="s">
        <v>135</v>
      </c>
      <c r="B9" s="1415"/>
      <c r="C9" s="1415"/>
      <c r="D9" s="1415"/>
      <c r="E9" s="1415"/>
      <c r="F9" s="1415"/>
      <c r="G9" s="1415"/>
      <c r="H9" s="1415"/>
      <c r="I9" s="1415"/>
      <c r="J9" s="1415"/>
      <c r="K9" s="1415"/>
      <c r="L9" s="1415"/>
      <c r="M9" s="1415"/>
      <c r="N9" s="1415"/>
      <c r="O9" s="1415"/>
      <c r="P9" s="1415"/>
      <c r="Q9" s="1415"/>
      <c r="R9" s="1416"/>
    </row>
    <row r="10" spans="1:22" s="30" customFormat="1" x14ac:dyDescent="0.2">
      <c r="A10" s="1435" t="s">
        <v>85</v>
      </c>
      <c r="B10" s="1436"/>
      <c r="C10" s="1436"/>
      <c r="D10" s="1436"/>
      <c r="E10" s="1436"/>
      <c r="F10" s="1436"/>
      <c r="G10" s="1436"/>
      <c r="H10" s="1436"/>
      <c r="I10" s="1436"/>
      <c r="J10" s="1436"/>
      <c r="K10" s="1436"/>
      <c r="L10" s="1436"/>
      <c r="M10" s="1436"/>
      <c r="N10" s="1436"/>
      <c r="O10" s="1436"/>
      <c r="P10" s="1436"/>
      <c r="Q10" s="1436"/>
      <c r="R10" s="1437"/>
    </row>
    <row r="11" spans="1:22" ht="15" customHeight="1" x14ac:dyDescent="0.2">
      <c r="A11" s="97" t="s">
        <v>9</v>
      </c>
      <c r="B11" s="1438" t="s">
        <v>136</v>
      </c>
      <c r="C11" s="1439"/>
      <c r="D11" s="1439"/>
      <c r="E11" s="1439"/>
      <c r="F11" s="1439"/>
      <c r="G11" s="1439"/>
      <c r="H11" s="1439"/>
      <c r="I11" s="1439"/>
      <c r="J11" s="1439"/>
      <c r="K11" s="1439"/>
      <c r="L11" s="1439"/>
      <c r="M11" s="1439"/>
      <c r="N11" s="1439"/>
      <c r="O11" s="1439"/>
      <c r="P11" s="1439"/>
      <c r="Q11" s="1439"/>
      <c r="R11" s="1440"/>
    </row>
    <row r="12" spans="1:22" x14ac:dyDescent="0.2">
      <c r="A12" s="95" t="s">
        <v>9</v>
      </c>
      <c r="B12" s="96" t="s">
        <v>9</v>
      </c>
      <c r="C12" s="1441" t="s">
        <v>70</v>
      </c>
      <c r="D12" s="1442"/>
      <c r="E12" s="1442"/>
      <c r="F12" s="1442"/>
      <c r="G12" s="1442"/>
      <c r="H12" s="1442"/>
      <c r="I12" s="1442"/>
      <c r="J12" s="1442"/>
      <c r="K12" s="1442"/>
      <c r="L12" s="1442"/>
      <c r="M12" s="1442"/>
      <c r="N12" s="1442"/>
      <c r="O12" s="1442"/>
      <c r="P12" s="1442"/>
      <c r="Q12" s="1442"/>
      <c r="R12" s="1443"/>
    </row>
    <row r="13" spans="1:22" ht="12.75" customHeight="1" x14ac:dyDescent="0.2">
      <c r="A13" s="1444" t="s">
        <v>9</v>
      </c>
      <c r="B13" s="1445" t="s">
        <v>9</v>
      </c>
      <c r="C13" s="1446" t="s">
        <v>9</v>
      </c>
      <c r="D13" s="1447" t="s">
        <v>112</v>
      </c>
      <c r="E13" s="1448"/>
      <c r="F13" s="1449" t="s">
        <v>44</v>
      </c>
      <c r="G13" s="1413" t="s">
        <v>40</v>
      </c>
      <c r="H13" s="134" t="s">
        <v>36</v>
      </c>
      <c r="I13" s="316">
        <f>J13+L13</f>
        <v>979.7</v>
      </c>
      <c r="J13" s="219">
        <f>949.7-99.9</f>
        <v>849.8</v>
      </c>
      <c r="K13" s="219"/>
      <c r="L13" s="243">
        <f>30+99.9</f>
        <v>129.9</v>
      </c>
      <c r="M13" s="317">
        <v>1841.4</v>
      </c>
      <c r="N13" s="45">
        <v>826.4</v>
      </c>
      <c r="O13" s="1450"/>
      <c r="P13" s="1378"/>
      <c r="Q13" s="1378"/>
      <c r="R13" s="1380"/>
    </row>
    <row r="14" spans="1:22" ht="25.5" customHeight="1" x14ac:dyDescent="0.2">
      <c r="A14" s="1444"/>
      <c r="B14" s="1445"/>
      <c r="C14" s="1446"/>
      <c r="D14" s="1447"/>
      <c r="E14" s="1448"/>
      <c r="F14" s="1449"/>
      <c r="G14" s="1413"/>
      <c r="H14" s="134"/>
      <c r="I14" s="316"/>
      <c r="J14" s="219"/>
      <c r="K14" s="219"/>
      <c r="L14" s="243"/>
      <c r="M14" s="81"/>
      <c r="N14" s="69"/>
      <c r="O14" s="1451"/>
      <c r="P14" s="1379"/>
      <c r="Q14" s="1379"/>
      <c r="R14" s="1381"/>
    </row>
    <row r="15" spans="1:22" ht="12.75" customHeight="1" x14ac:dyDescent="0.2">
      <c r="A15" s="1444"/>
      <c r="B15" s="1445"/>
      <c r="C15" s="1446"/>
      <c r="D15" s="1469" t="s">
        <v>46</v>
      </c>
      <c r="E15" s="1410"/>
      <c r="F15" s="1459"/>
      <c r="G15" s="1461"/>
      <c r="H15" s="134"/>
      <c r="I15" s="318"/>
      <c r="J15" s="219"/>
      <c r="K15" s="219"/>
      <c r="L15" s="243"/>
      <c r="M15" s="317"/>
      <c r="N15" s="45"/>
      <c r="O15" s="1463" t="s">
        <v>97</v>
      </c>
      <c r="P15" s="112">
        <v>3.5</v>
      </c>
      <c r="Q15" s="112">
        <v>3.4</v>
      </c>
      <c r="R15" s="113">
        <v>3.5</v>
      </c>
    </row>
    <row r="16" spans="1:22" ht="14.25" customHeight="1" x14ac:dyDescent="0.2">
      <c r="A16" s="1444"/>
      <c r="B16" s="1445"/>
      <c r="C16" s="1446"/>
      <c r="D16" s="1470"/>
      <c r="E16" s="1411"/>
      <c r="F16" s="1460"/>
      <c r="G16" s="1462"/>
      <c r="H16" s="319"/>
      <c r="I16" s="320"/>
      <c r="J16" s="321"/>
      <c r="K16" s="321"/>
      <c r="L16" s="322"/>
      <c r="M16" s="323"/>
      <c r="N16" s="324"/>
      <c r="O16" s="1451"/>
      <c r="P16" s="59"/>
      <c r="Q16" s="59"/>
      <c r="R16" s="143"/>
      <c r="S16" s="14"/>
      <c r="U16" s="13"/>
    </row>
    <row r="17" spans="1:28" x14ac:dyDescent="0.2">
      <c r="A17" s="1444"/>
      <c r="B17" s="1445"/>
      <c r="C17" s="1446"/>
      <c r="D17" s="1464" t="s">
        <v>47</v>
      </c>
      <c r="E17" s="1408"/>
      <c r="F17" s="1412"/>
      <c r="G17" s="1413"/>
      <c r="H17" s="312"/>
      <c r="I17" s="318"/>
      <c r="J17" s="219"/>
      <c r="K17" s="219"/>
      <c r="L17" s="243"/>
      <c r="M17" s="325"/>
      <c r="N17" s="326"/>
      <c r="O17" s="1465" t="s">
        <v>49</v>
      </c>
      <c r="P17" s="593">
        <v>5</v>
      </c>
      <c r="Q17" s="593">
        <v>5</v>
      </c>
      <c r="R17" s="594">
        <v>5</v>
      </c>
    </row>
    <row r="18" spans="1:28" x14ac:dyDescent="0.2">
      <c r="A18" s="1444"/>
      <c r="B18" s="1445"/>
      <c r="C18" s="1446"/>
      <c r="D18" s="1464"/>
      <c r="E18" s="1408"/>
      <c r="F18" s="1412"/>
      <c r="G18" s="1413"/>
      <c r="H18" s="319"/>
      <c r="I18" s="320"/>
      <c r="J18" s="321"/>
      <c r="K18" s="321"/>
      <c r="L18" s="322"/>
      <c r="M18" s="323"/>
      <c r="N18" s="324"/>
      <c r="O18" s="1466"/>
      <c r="P18" s="593"/>
      <c r="Q18" s="593"/>
      <c r="R18" s="594"/>
    </row>
    <row r="19" spans="1:28" x14ac:dyDescent="0.2">
      <c r="A19" s="1444"/>
      <c r="B19" s="1445"/>
      <c r="C19" s="1446"/>
      <c r="D19" s="1469" t="s">
        <v>48</v>
      </c>
      <c r="E19" s="1407"/>
      <c r="F19" s="1467"/>
      <c r="G19" s="1461"/>
      <c r="H19" s="312"/>
      <c r="I19" s="318"/>
      <c r="J19" s="219"/>
      <c r="K19" s="219"/>
      <c r="L19" s="243"/>
      <c r="M19" s="325"/>
      <c r="N19" s="326"/>
      <c r="O19" s="1465" t="s">
        <v>113</v>
      </c>
      <c r="P19" s="509">
        <v>4</v>
      </c>
      <c r="Q19" s="509">
        <v>4</v>
      </c>
      <c r="R19" s="508">
        <v>4</v>
      </c>
    </row>
    <row r="20" spans="1:28" x14ac:dyDescent="0.2">
      <c r="A20" s="1444"/>
      <c r="B20" s="1445"/>
      <c r="C20" s="1446"/>
      <c r="D20" s="1464"/>
      <c r="E20" s="1408"/>
      <c r="F20" s="1412"/>
      <c r="G20" s="1413"/>
      <c r="H20" s="312"/>
      <c r="I20" s="318"/>
      <c r="J20" s="219"/>
      <c r="K20" s="219"/>
      <c r="L20" s="243"/>
      <c r="M20" s="325"/>
      <c r="N20" s="326"/>
      <c r="O20" s="1468"/>
      <c r="P20" s="593"/>
      <c r="Q20" s="593"/>
      <c r="R20" s="594"/>
    </row>
    <row r="21" spans="1:28" ht="25.5" x14ac:dyDescent="0.2">
      <c r="A21" s="1444"/>
      <c r="B21" s="1445"/>
      <c r="C21" s="1446"/>
      <c r="D21" s="1464"/>
      <c r="E21" s="1408"/>
      <c r="F21" s="1412"/>
      <c r="G21" s="1413"/>
      <c r="H21" s="312"/>
      <c r="I21" s="318"/>
      <c r="J21" s="219"/>
      <c r="K21" s="219"/>
      <c r="L21" s="243"/>
      <c r="M21" s="325"/>
      <c r="N21" s="326"/>
      <c r="O21" s="580" t="s">
        <v>147</v>
      </c>
      <c r="P21" s="593">
        <v>20</v>
      </c>
      <c r="Q21" s="593"/>
      <c r="R21" s="594"/>
    </row>
    <row r="22" spans="1:28" x14ac:dyDescent="0.2">
      <c r="A22" s="1444"/>
      <c r="B22" s="1445"/>
      <c r="C22" s="1446"/>
      <c r="D22" s="1464"/>
      <c r="E22" s="1408"/>
      <c r="F22" s="1412"/>
      <c r="G22" s="1413"/>
      <c r="H22" s="312"/>
      <c r="I22" s="318"/>
      <c r="J22" s="219"/>
      <c r="K22" s="219"/>
      <c r="L22" s="243"/>
      <c r="M22" s="325"/>
      <c r="N22" s="326"/>
      <c r="O22" s="17" t="s">
        <v>140</v>
      </c>
      <c r="P22" s="593">
        <v>1</v>
      </c>
      <c r="Q22" s="593">
        <v>1</v>
      </c>
      <c r="R22" s="594">
        <v>1</v>
      </c>
    </row>
    <row r="23" spans="1:28" x14ac:dyDescent="0.2">
      <c r="A23" s="1444"/>
      <c r="B23" s="1445"/>
      <c r="C23" s="1446"/>
      <c r="D23" s="1464"/>
      <c r="E23" s="1408"/>
      <c r="F23" s="1412"/>
      <c r="G23" s="1413"/>
      <c r="H23" s="312"/>
      <c r="I23" s="318"/>
      <c r="J23" s="219"/>
      <c r="K23" s="219"/>
      <c r="L23" s="243"/>
      <c r="M23" s="313"/>
      <c r="N23" s="314"/>
      <c r="O23" s="17" t="s">
        <v>50</v>
      </c>
      <c r="P23" s="593">
        <v>44</v>
      </c>
      <c r="Q23" s="593">
        <v>30</v>
      </c>
      <c r="R23" s="594">
        <v>30</v>
      </c>
    </row>
    <row r="24" spans="1:28" x14ac:dyDescent="0.2">
      <c r="A24" s="1444"/>
      <c r="B24" s="1445"/>
      <c r="C24" s="1446"/>
      <c r="D24" s="1464"/>
      <c r="E24" s="1408"/>
      <c r="F24" s="1412"/>
      <c r="G24" s="1413"/>
      <c r="H24" s="312"/>
      <c r="I24" s="318"/>
      <c r="J24" s="219"/>
      <c r="K24" s="219"/>
      <c r="L24" s="243"/>
      <c r="M24" s="313"/>
      <c r="N24" s="314"/>
      <c r="O24" s="17" t="s">
        <v>51</v>
      </c>
      <c r="P24" s="593">
        <v>8</v>
      </c>
      <c r="Q24" s="593">
        <v>10</v>
      </c>
      <c r="R24" s="594">
        <v>10</v>
      </c>
    </row>
    <row r="25" spans="1:28" ht="13.5" customHeight="1" x14ac:dyDescent="0.2">
      <c r="A25" s="1444"/>
      <c r="B25" s="1445"/>
      <c r="C25" s="1446"/>
      <c r="D25" s="1464"/>
      <c r="E25" s="1409"/>
      <c r="F25" s="1412"/>
      <c r="G25" s="1413"/>
      <c r="H25" s="319"/>
      <c r="I25" s="320"/>
      <c r="J25" s="321"/>
      <c r="K25" s="321"/>
      <c r="L25" s="322"/>
      <c r="M25" s="323"/>
      <c r="N25" s="324"/>
      <c r="O25" s="61" t="s">
        <v>52</v>
      </c>
      <c r="P25" s="600">
        <v>28</v>
      </c>
      <c r="Q25" s="600">
        <v>30</v>
      </c>
      <c r="R25" s="601">
        <v>30</v>
      </c>
    </row>
    <row r="26" spans="1:28" ht="25.5" x14ac:dyDescent="0.2">
      <c r="A26" s="94"/>
      <c r="B26" s="582"/>
      <c r="C26" s="586"/>
      <c r="D26" s="1452" t="s">
        <v>201</v>
      </c>
      <c r="E26" s="1407" t="s">
        <v>171</v>
      </c>
      <c r="F26" s="599"/>
      <c r="G26" s="84"/>
      <c r="H26" s="327"/>
      <c r="I26" s="318"/>
      <c r="J26" s="219"/>
      <c r="K26" s="321"/>
      <c r="L26" s="322"/>
      <c r="M26" s="313"/>
      <c r="N26" s="324"/>
      <c r="O26" s="206" t="s">
        <v>186</v>
      </c>
      <c r="P26" s="207">
        <v>1</v>
      </c>
      <c r="Q26" s="199">
        <v>1</v>
      </c>
      <c r="R26" s="85"/>
      <c r="AA26" s="14"/>
      <c r="AB26" s="14"/>
    </row>
    <row r="27" spans="1:28" ht="14.25" customHeight="1" thickBot="1" x14ac:dyDescent="0.25">
      <c r="A27" s="98"/>
      <c r="B27" s="584"/>
      <c r="C27" s="587"/>
      <c r="D27" s="1453"/>
      <c r="E27" s="1454"/>
      <c r="F27" s="590"/>
      <c r="G27" s="92"/>
      <c r="H27" s="602"/>
      <c r="I27" s="603"/>
      <c r="J27" s="343"/>
      <c r="K27" s="565"/>
      <c r="L27" s="569"/>
      <c r="M27" s="604"/>
      <c r="N27" s="570"/>
      <c r="O27" s="18" t="s">
        <v>187</v>
      </c>
      <c r="P27" s="605">
        <v>100</v>
      </c>
      <c r="Q27" s="86">
        <v>100</v>
      </c>
      <c r="R27" s="87"/>
      <c r="AA27" s="14"/>
      <c r="AB27" s="14"/>
    </row>
    <row r="28" spans="1:28" x14ac:dyDescent="0.2">
      <c r="A28" s="363"/>
      <c r="B28" s="583"/>
      <c r="C28" s="585"/>
      <c r="D28" s="1455" t="s">
        <v>190</v>
      </c>
      <c r="E28" s="1457" t="s">
        <v>171</v>
      </c>
      <c r="F28" s="589"/>
      <c r="G28" s="91"/>
      <c r="H28" s="571" t="s">
        <v>94</v>
      </c>
      <c r="I28" s="266">
        <f>J28</f>
        <v>150</v>
      </c>
      <c r="J28" s="268">
        <v>150</v>
      </c>
      <c r="K28" s="572"/>
      <c r="L28" s="573"/>
      <c r="M28" s="606">
        <v>100</v>
      </c>
      <c r="N28" s="607"/>
      <c r="O28" s="608" t="s">
        <v>163</v>
      </c>
      <c r="P28" s="609">
        <v>1</v>
      </c>
      <c r="Q28" s="592"/>
      <c r="R28" s="574"/>
      <c r="S28" s="141"/>
      <c r="AA28" s="14"/>
      <c r="AB28" s="14"/>
    </row>
    <row r="29" spans="1:28" x14ac:dyDescent="0.2">
      <c r="A29" s="94"/>
      <c r="B29" s="582"/>
      <c r="C29" s="586"/>
      <c r="D29" s="1456"/>
      <c r="E29" s="1458"/>
      <c r="F29" s="581"/>
      <c r="G29" s="84"/>
      <c r="H29" s="411"/>
      <c r="I29" s="412"/>
      <c r="J29" s="408"/>
      <c r="K29" s="408"/>
      <c r="L29" s="409"/>
      <c r="M29" s="413"/>
      <c r="N29" s="410"/>
      <c r="O29" s="77" t="s">
        <v>162</v>
      </c>
      <c r="P29" s="198">
        <v>50</v>
      </c>
      <c r="Q29" s="600">
        <v>50</v>
      </c>
      <c r="R29" s="116"/>
      <c r="AA29" s="14"/>
      <c r="AB29" s="14"/>
    </row>
    <row r="30" spans="1:28" ht="21.75" customHeight="1" x14ac:dyDescent="0.2">
      <c r="A30" s="94"/>
      <c r="B30" s="582"/>
      <c r="C30" s="586"/>
      <c r="D30" s="1372" t="s">
        <v>210</v>
      </c>
      <c r="E30" s="1376" t="s">
        <v>212</v>
      </c>
      <c r="F30" s="538"/>
      <c r="G30" s="539" t="s">
        <v>90</v>
      </c>
      <c r="H30" s="540" t="s">
        <v>36</v>
      </c>
      <c r="I30" s="541">
        <f>J30</f>
        <v>200</v>
      </c>
      <c r="J30" s="377">
        <v>200</v>
      </c>
      <c r="K30" s="542"/>
      <c r="L30" s="543"/>
      <c r="M30" s="544"/>
      <c r="N30" s="545"/>
      <c r="O30" s="1374" t="s">
        <v>211</v>
      </c>
      <c r="P30" s="551">
        <v>0.33</v>
      </c>
      <c r="Q30" s="546"/>
      <c r="R30" s="85"/>
      <c r="AA30" s="14"/>
      <c r="AB30" s="14"/>
    </row>
    <row r="31" spans="1:28" ht="16.5" customHeight="1" x14ac:dyDescent="0.2">
      <c r="A31" s="94"/>
      <c r="B31" s="582"/>
      <c r="C31" s="586"/>
      <c r="D31" s="1373"/>
      <c r="E31" s="1377"/>
      <c r="F31" s="547"/>
      <c r="G31" s="539"/>
      <c r="H31" s="548"/>
      <c r="I31" s="549"/>
      <c r="J31" s="542"/>
      <c r="K31" s="542"/>
      <c r="L31" s="543"/>
      <c r="M31" s="544"/>
      <c r="N31" s="545"/>
      <c r="O31" s="1375"/>
      <c r="P31" s="552"/>
      <c r="Q31" s="546"/>
      <c r="R31" s="85"/>
      <c r="AA31" s="14"/>
      <c r="AB31" s="14"/>
    </row>
    <row r="32" spans="1:28" ht="30.75" customHeight="1" thickBot="1" x14ac:dyDescent="0.25">
      <c r="A32" s="578"/>
      <c r="B32" s="584"/>
      <c r="C32" s="587"/>
      <c r="D32" s="579"/>
      <c r="E32" s="588"/>
      <c r="F32" s="590"/>
      <c r="G32" s="575"/>
      <c r="H32" s="277" t="s">
        <v>10</v>
      </c>
      <c r="I32" s="536" t="s">
        <v>213</v>
      </c>
      <c r="J32" s="550" t="s">
        <v>214</v>
      </c>
      <c r="K32" s="237">
        <f>K13</f>
        <v>0</v>
      </c>
      <c r="L32" s="238">
        <f>L13</f>
        <v>129.9</v>
      </c>
      <c r="M32" s="242">
        <f>M13+M28</f>
        <v>1941.4</v>
      </c>
      <c r="N32" s="236">
        <f>N13</f>
        <v>826.4</v>
      </c>
      <c r="O32" s="331"/>
      <c r="P32" s="553"/>
      <c r="Q32" s="86"/>
      <c r="R32" s="87"/>
      <c r="AA32" s="14"/>
      <c r="AB32" s="14"/>
    </row>
    <row r="33" spans="1:18" x14ac:dyDescent="0.2">
      <c r="A33" s="1444" t="s">
        <v>9</v>
      </c>
      <c r="B33" s="1445" t="s">
        <v>9</v>
      </c>
      <c r="C33" s="1446" t="s">
        <v>11</v>
      </c>
      <c r="D33" s="1447" t="s">
        <v>114</v>
      </c>
      <c r="E33" s="1408"/>
      <c r="F33" s="1412" t="s">
        <v>54</v>
      </c>
      <c r="G33" s="1413" t="s">
        <v>40</v>
      </c>
      <c r="H33" s="16" t="s">
        <v>36</v>
      </c>
      <c r="I33" s="246">
        <f>J33+L33</f>
        <v>6410.1</v>
      </c>
      <c r="J33" s="219">
        <v>6405.6</v>
      </c>
      <c r="K33" s="219"/>
      <c r="L33" s="220">
        <v>4.5</v>
      </c>
      <c r="M33" s="338">
        <f>7481+130</f>
        <v>7611</v>
      </c>
      <c r="N33" s="106">
        <f>7481+130</f>
        <v>7611</v>
      </c>
      <c r="O33" s="330"/>
      <c r="P33" s="598"/>
      <c r="Q33" s="598"/>
      <c r="R33" s="596"/>
    </row>
    <row r="34" spans="1:18" x14ac:dyDescent="0.2">
      <c r="A34" s="1444"/>
      <c r="B34" s="1445"/>
      <c r="C34" s="1446"/>
      <c r="D34" s="1480"/>
      <c r="E34" s="1408"/>
      <c r="F34" s="1412"/>
      <c r="G34" s="1413"/>
      <c r="H34" s="332" t="s">
        <v>61</v>
      </c>
      <c r="I34" s="246">
        <f>J34+L34</f>
        <v>3.5</v>
      </c>
      <c r="J34" s="219">
        <v>3.5</v>
      </c>
      <c r="K34" s="219"/>
      <c r="L34" s="220"/>
      <c r="M34" s="326">
        <v>3.5</v>
      </c>
      <c r="N34" s="337">
        <v>3.5</v>
      </c>
      <c r="O34" s="17"/>
      <c r="P34" s="598"/>
      <c r="Q34" s="598"/>
      <c r="R34" s="596"/>
    </row>
    <row r="35" spans="1:18" ht="18" customHeight="1" x14ac:dyDescent="0.2">
      <c r="A35" s="1444"/>
      <c r="B35" s="1445"/>
      <c r="C35" s="1446"/>
      <c r="D35" s="1477" t="s">
        <v>191</v>
      </c>
      <c r="E35" s="1407"/>
      <c r="F35" s="1467" t="s">
        <v>41</v>
      </c>
      <c r="G35" s="1461"/>
      <c r="H35" s="16"/>
      <c r="I35" s="246"/>
      <c r="J35" s="219"/>
      <c r="K35" s="219"/>
      <c r="L35" s="220"/>
      <c r="M35" s="45"/>
      <c r="N35" s="106"/>
      <c r="O35" s="60" t="s">
        <v>148</v>
      </c>
      <c r="P35" s="597">
        <v>3.7</v>
      </c>
      <c r="Q35" s="597">
        <v>3.7</v>
      </c>
      <c r="R35" s="595">
        <v>3.7</v>
      </c>
    </row>
    <row r="36" spans="1:18" ht="18.75" customHeight="1" x14ac:dyDescent="0.2">
      <c r="A36" s="1444"/>
      <c r="B36" s="1445"/>
      <c r="C36" s="1446"/>
      <c r="D36" s="1476"/>
      <c r="E36" s="1408"/>
      <c r="F36" s="1412"/>
      <c r="G36" s="1413"/>
      <c r="H36" s="332"/>
      <c r="I36" s="246"/>
      <c r="J36" s="219"/>
      <c r="K36" s="219"/>
      <c r="L36" s="220"/>
      <c r="M36" s="69"/>
      <c r="N36" s="103"/>
      <c r="O36" s="17" t="s">
        <v>193</v>
      </c>
      <c r="P36" s="598">
        <v>2.5</v>
      </c>
      <c r="Q36" s="598">
        <v>2.5</v>
      </c>
      <c r="R36" s="596">
        <v>2.5</v>
      </c>
    </row>
    <row r="37" spans="1:18" x14ac:dyDescent="0.2">
      <c r="A37" s="1444"/>
      <c r="B37" s="1445"/>
      <c r="C37" s="1446"/>
      <c r="D37" s="1476"/>
      <c r="E37" s="1408"/>
      <c r="F37" s="1412"/>
      <c r="G37" s="1413"/>
      <c r="H37" s="332"/>
      <c r="I37" s="246"/>
      <c r="J37" s="219"/>
      <c r="K37" s="219"/>
      <c r="L37" s="220"/>
      <c r="M37" s="35"/>
      <c r="N37" s="175"/>
      <c r="O37" s="1468" t="s">
        <v>98</v>
      </c>
      <c r="P37" s="1472">
        <v>20</v>
      </c>
      <c r="Q37" s="1472">
        <v>20</v>
      </c>
      <c r="R37" s="1474">
        <v>20</v>
      </c>
    </row>
    <row r="38" spans="1:18" x14ac:dyDescent="0.2">
      <c r="A38" s="1444"/>
      <c r="B38" s="1445"/>
      <c r="C38" s="1446"/>
      <c r="D38" s="1478"/>
      <c r="E38" s="1409"/>
      <c r="F38" s="1479"/>
      <c r="G38" s="1462"/>
      <c r="H38" s="334"/>
      <c r="I38" s="335"/>
      <c r="J38" s="321"/>
      <c r="K38" s="321"/>
      <c r="L38" s="336"/>
      <c r="M38" s="324"/>
      <c r="N38" s="329"/>
      <c r="O38" s="1471"/>
      <c r="P38" s="1473"/>
      <c r="Q38" s="1473"/>
      <c r="R38" s="1475"/>
    </row>
    <row r="39" spans="1:18" ht="18" customHeight="1" x14ac:dyDescent="0.2">
      <c r="A39" s="1444"/>
      <c r="B39" s="1445"/>
      <c r="C39" s="1446"/>
      <c r="D39" s="1476" t="s">
        <v>56</v>
      </c>
      <c r="E39" s="1408"/>
      <c r="F39" s="1412"/>
      <c r="G39" s="1413"/>
      <c r="H39" s="332"/>
      <c r="I39" s="246"/>
      <c r="J39" s="219"/>
      <c r="K39" s="219"/>
      <c r="L39" s="220"/>
      <c r="M39" s="326"/>
      <c r="N39" s="337"/>
      <c r="O39" s="580" t="s">
        <v>58</v>
      </c>
      <c r="P39" s="593">
        <v>44</v>
      </c>
      <c r="Q39" s="593">
        <v>44</v>
      </c>
      <c r="R39" s="594">
        <v>44</v>
      </c>
    </row>
    <row r="40" spans="1:18" x14ac:dyDescent="0.2">
      <c r="A40" s="1444"/>
      <c r="B40" s="1445"/>
      <c r="C40" s="1446"/>
      <c r="D40" s="1476"/>
      <c r="E40" s="1408"/>
      <c r="F40" s="1412"/>
      <c r="G40" s="1413"/>
      <c r="H40" s="332"/>
      <c r="I40" s="246"/>
      <c r="J40" s="219"/>
      <c r="K40" s="219"/>
      <c r="L40" s="220"/>
      <c r="M40" s="314"/>
      <c r="N40" s="328"/>
      <c r="O40" s="1468" t="s">
        <v>194</v>
      </c>
      <c r="P40" s="1472">
        <v>387</v>
      </c>
      <c r="Q40" s="1472">
        <v>387</v>
      </c>
      <c r="R40" s="1474">
        <v>387</v>
      </c>
    </row>
    <row r="41" spans="1:18" x14ac:dyDescent="0.2">
      <c r="A41" s="1444"/>
      <c r="B41" s="1445"/>
      <c r="C41" s="1446"/>
      <c r="D41" s="1476"/>
      <c r="E41" s="1408"/>
      <c r="F41" s="1412"/>
      <c r="G41" s="1413"/>
      <c r="H41" s="407"/>
      <c r="I41" s="414"/>
      <c r="J41" s="408"/>
      <c r="K41" s="408"/>
      <c r="L41" s="415"/>
      <c r="M41" s="410"/>
      <c r="N41" s="416"/>
      <c r="O41" s="1468"/>
      <c r="P41" s="1473"/>
      <c r="Q41" s="1473"/>
      <c r="R41" s="1475"/>
    </row>
    <row r="42" spans="1:18" ht="27.75" customHeight="1" x14ac:dyDescent="0.2">
      <c r="A42" s="577"/>
      <c r="B42" s="582"/>
      <c r="C42" s="586"/>
      <c r="D42" s="1477" t="s">
        <v>99</v>
      </c>
      <c r="E42" s="1407"/>
      <c r="F42" s="1467"/>
      <c r="G42" s="1461"/>
      <c r="H42" s="16" t="s">
        <v>36</v>
      </c>
      <c r="I42" s="246">
        <f>J42+L42</f>
        <v>114.5</v>
      </c>
      <c r="J42" s="219">
        <v>114.5</v>
      </c>
      <c r="K42" s="219"/>
      <c r="L42" s="220"/>
      <c r="M42" s="45"/>
      <c r="N42" s="106"/>
      <c r="O42" s="114" t="s">
        <v>149</v>
      </c>
      <c r="P42" s="115">
        <v>2.5</v>
      </c>
      <c r="Q42" s="67">
        <v>3</v>
      </c>
      <c r="R42" s="68">
        <v>3</v>
      </c>
    </row>
    <row r="43" spans="1:18" ht="18.75" customHeight="1" x14ac:dyDescent="0.2">
      <c r="A43" s="577"/>
      <c r="B43" s="582"/>
      <c r="C43" s="586"/>
      <c r="D43" s="1476"/>
      <c r="E43" s="1408"/>
      <c r="F43" s="1412"/>
      <c r="G43" s="1413"/>
      <c r="H43" s="145" t="s">
        <v>181</v>
      </c>
      <c r="I43" s="215">
        <f>J43+L43</f>
        <v>15</v>
      </c>
      <c r="J43" s="216">
        <v>15</v>
      </c>
      <c r="K43" s="216"/>
      <c r="L43" s="217"/>
      <c r="M43" s="65"/>
      <c r="N43" s="105"/>
      <c r="O43" s="1465" t="s">
        <v>101</v>
      </c>
      <c r="P43" s="333">
        <v>1</v>
      </c>
      <c r="Q43" s="509">
        <v>1</v>
      </c>
      <c r="R43" s="508">
        <v>1</v>
      </c>
    </row>
    <row r="44" spans="1:18" ht="19.5" customHeight="1" thickBot="1" x14ac:dyDescent="0.25">
      <c r="A44" s="94"/>
      <c r="B44" s="582"/>
      <c r="C44" s="586"/>
      <c r="D44" s="1476"/>
      <c r="E44" s="1408"/>
      <c r="F44" s="1412"/>
      <c r="G44" s="1413"/>
      <c r="H44" s="279" t="s">
        <v>10</v>
      </c>
      <c r="I44" s="226">
        <f>I42+I34+I33+I43</f>
        <v>6543.1</v>
      </c>
      <c r="J44" s="226">
        <f>J42+J34+J33+J43</f>
        <v>6538.6</v>
      </c>
      <c r="K44" s="226">
        <f>K42+K34+K33</f>
        <v>0</v>
      </c>
      <c r="L44" s="275">
        <f>L42+L34+L33</f>
        <v>4.5</v>
      </c>
      <c r="M44" s="276">
        <f>M42+M34+M33</f>
        <v>7614.5</v>
      </c>
      <c r="N44" s="226">
        <f>N42+N34+N33</f>
        <v>7614.5</v>
      </c>
      <c r="O44" s="1481"/>
      <c r="P44" s="591"/>
      <c r="Q44" s="593"/>
      <c r="R44" s="594"/>
    </row>
    <row r="45" spans="1:18" ht="12.75" customHeight="1" x14ac:dyDescent="0.2">
      <c r="A45" s="1489" t="s">
        <v>9</v>
      </c>
      <c r="B45" s="1490" t="s">
        <v>9</v>
      </c>
      <c r="C45" s="1491" t="s">
        <v>38</v>
      </c>
      <c r="D45" s="1492" t="s">
        <v>115</v>
      </c>
      <c r="E45" s="1494" t="s">
        <v>170</v>
      </c>
      <c r="F45" s="1482" t="s">
        <v>41</v>
      </c>
      <c r="G45" s="1483" t="s">
        <v>40</v>
      </c>
      <c r="H45" s="15" t="s">
        <v>36</v>
      </c>
      <c r="I45" s="228">
        <f>J45+L45</f>
        <v>1355.2</v>
      </c>
      <c r="J45" s="228">
        <f>1292.2+10</f>
        <v>1302.2</v>
      </c>
      <c r="K45" s="228">
        <v>710.7</v>
      </c>
      <c r="L45" s="381">
        <f>63-10</f>
        <v>53</v>
      </c>
      <c r="M45" s="383">
        <v>1592.1</v>
      </c>
      <c r="N45" s="341">
        <v>1146.0999999999999</v>
      </c>
      <c r="O45" s="576"/>
      <c r="P45" s="126"/>
      <c r="Q45" s="126"/>
      <c r="R45" s="37"/>
    </row>
    <row r="46" spans="1:18" x14ac:dyDescent="0.2">
      <c r="A46" s="1444"/>
      <c r="B46" s="1445"/>
      <c r="C46" s="1446"/>
      <c r="D46" s="1493"/>
      <c r="E46" s="1408"/>
      <c r="F46" s="1412"/>
      <c r="G46" s="1413"/>
      <c r="H46" s="16" t="s">
        <v>61</v>
      </c>
      <c r="I46" s="246">
        <f>J46+L46</f>
        <v>116.2</v>
      </c>
      <c r="J46" s="246">
        <v>116.2</v>
      </c>
      <c r="K46" s="246">
        <v>31.7</v>
      </c>
      <c r="L46" s="376">
        <f>L51+L53+L56</f>
        <v>0</v>
      </c>
      <c r="M46" s="314">
        <v>115.8</v>
      </c>
      <c r="N46" s="328">
        <v>115.8</v>
      </c>
      <c r="O46" s="580"/>
      <c r="P46" s="598"/>
      <c r="Q46" s="598"/>
      <c r="R46" s="596"/>
    </row>
    <row r="47" spans="1:18" ht="21" customHeight="1" x14ac:dyDescent="0.2">
      <c r="A47" s="1444"/>
      <c r="B47" s="1445"/>
      <c r="C47" s="1446"/>
      <c r="D47" s="1477" t="s">
        <v>164</v>
      </c>
      <c r="E47" s="1495"/>
      <c r="F47" s="1412"/>
      <c r="G47" s="1413"/>
      <c r="H47" s="16"/>
      <c r="I47" s="246"/>
      <c r="J47" s="219"/>
      <c r="K47" s="219"/>
      <c r="L47" s="220"/>
      <c r="M47" s="45"/>
      <c r="N47" s="106"/>
      <c r="O47" s="60" t="s">
        <v>86</v>
      </c>
      <c r="P47" s="597">
        <v>0.2</v>
      </c>
      <c r="Q47" s="597">
        <v>0.2</v>
      </c>
      <c r="R47" s="595">
        <v>0.2</v>
      </c>
    </row>
    <row r="48" spans="1:18" ht="14.25" customHeight="1" x14ac:dyDescent="0.2">
      <c r="A48" s="1444"/>
      <c r="B48" s="1445"/>
      <c r="C48" s="1446"/>
      <c r="D48" s="1476"/>
      <c r="E48" s="1495"/>
      <c r="F48" s="1412"/>
      <c r="G48" s="1413"/>
      <c r="H48" s="16"/>
      <c r="I48" s="246"/>
      <c r="J48" s="219"/>
      <c r="K48" s="219"/>
      <c r="L48" s="220"/>
      <c r="M48" s="45"/>
      <c r="N48" s="106"/>
      <c r="O48" s="1468" t="s">
        <v>87</v>
      </c>
      <c r="P48" s="598">
        <v>0.1</v>
      </c>
      <c r="Q48" s="598">
        <v>0.1</v>
      </c>
      <c r="R48" s="596">
        <v>0.1</v>
      </c>
    </row>
    <row r="49" spans="1:21" ht="29.25" customHeight="1" thickBot="1" x14ac:dyDescent="0.25">
      <c r="A49" s="1484"/>
      <c r="B49" s="1485"/>
      <c r="C49" s="1486"/>
      <c r="D49" s="1487"/>
      <c r="E49" s="1496"/>
      <c r="F49" s="1488"/>
      <c r="G49" s="1497"/>
      <c r="H49" s="564"/>
      <c r="I49" s="270"/>
      <c r="J49" s="565"/>
      <c r="K49" s="565"/>
      <c r="L49" s="566"/>
      <c r="M49" s="567"/>
      <c r="N49" s="568"/>
      <c r="O49" s="1498"/>
      <c r="P49" s="507"/>
      <c r="Q49" s="507"/>
      <c r="R49" s="506"/>
    </row>
    <row r="50" spans="1:21" ht="12.75" customHeight="1" x14ac:dyDescent="0.2">
      <c r="A50" s="1489"/>
      <c r="B50" s="1490"/>
      <c r="C50" s="1491"/>
      <c r="D50" s="1499" t="s">
        <v>59</v>
      </c>
      <c r="E50" s="1494"/>
      <c r="F50" s="1482"/>
      <c r="G50" s="1483"/>
      <c r="H50" s="339"/>
      <c r="I50" s="340"/>
      <c r="J50" s="268"/>
      <c r="K50" s="268"/>
      <c r="L50" s="269"/>
      <c r="M50" s="338"/>
      <c r="N50" s="563"/>
      <c r="O50" s="1502" t="s">
        <v>60</v>
      </c>
      <c r="P50" s="493">
        <v>3</v>
      </c>
      <c r="Q50" s="493">
        <v>3</v>
      </c>
      <c r="R50" s="495">
        <v>3</v>
      </c>
    </row>
    <row r="51" spans="1:21" x14ac:dyDescent="0.2">
      <c r="A51" s="1444"/>
      <c r="B51" s="1445"/>
      <c r="C51" s="1446"/>
      <c r="D51" s="1476"/>
      <c r="E51" s="1408"/>
      <c r="F51" s="1412"/>
      <c r="G51" s="1413"/>
      <c r="H51" s="16"/>
      <c r="I51" s="246"/>
      <c r="J51" s="219"/>
      <c r="K51" s="219"/>
      <c r="L51" s="220"/>
      <c r="M51" s="45"/>
      <c r="N51" s="106"/>
      <c r="O51" s="1468"/>
      <c r="P51" s="494"/>
      <c r="Q51" s="494"/>
      <c r="R51" s="496"/>
    </row>
    <row r="52" spans="1:21" x14ac:dyDescent="0.2">
      <c r="A52" s="1444"/>
      <c r="B52" s="1445"/>
      <c r="C52" s="1446"/>
      <c r="D52" s="1477" t="s">
        <v>144</v>
      </c>
      <c r="E52" s="1408"/>
      <c r="F52" s="1412"/>
      <c r="G52" s="1413"/>
      <c r="H52" s="16"/>
      <c r="I52" s="246"/>
      <c r="J52" s="219"/>
      <c r="K52" s="219"/>
      <c r="L52" s="220"/>
      <c r="M52" s="45"/>
      <c r="N52" s="106"/>
      <c r="O52" s="1465" t="s">
        <v>195</v>
      </c>
      <c r="P52" s="509">
        <v>2</v>
      </c>
      <c r="Q52" s="509">
        <v>2</v>
      </c>
      <c r="R52" s="508">
        <v>2</v>
      </c>
    </row>
    <row r="53" spans="1:21" x14ac:dyDescent="0.2">
      <c r="A53" s="1444"/>
      <c r="B53" s="1445"/>
      <c r="C53" s="1446"/>
      <c r="D53" s="1478"/>
      <c r="E53" s="1409"/>
      <c r="F53" s="1479"/>
      <c r="G53" s="1462"/>
      <c r="H53" s="145"/>
      <c r="I53" s="215"/>
      <c r="J53" s="216"/>
      <c r="K53" s="216"/>
      <c r="L53" s="217"/>
      <c r="M53" s="65"/>
      <c r="N53" s="105"/>
      <c r="O53" s="1471"/>
      <c r="P53" s="503"/>
      <c r="Q53" s="503"/>
      <c r="R53" s="504"/>
    </row>
    <row r="54" spans="1:21" x14ac:dyDescent="0.2">
      <c r="A54" s="477"/>
      <c r="B54" s="488"/>
      <c r="C54" s="491"/>
      <c r="D54" s="1477" t="s">
        <v>205</v>
      </c>
      <c r="E54" s="501"/>
      <c r="F54" s="502" t="s">
        <v>38</v>
      </c>
      <c r="G54" s="479"/>
      <c r="H54" s="12"/>
      <c r="I54" s="359"/>
      <c r="J54" s="224"/>
      <c r="K54" s="224"/>
      <c r="L54" s="225"/>
      <c r="M54" s="356"/>
      <c r="N54" s="357"/>
      <c r="O54" s="1465" t="s">
        <v>63</v>
      </c>
      <c r="P54" s="498">
        <v>15.5</v>
      </c>
      <c r="Q54" s="498">
        <v>15.5</v>
      </c>
      <c r="R54" s="497">
        <v>15.5</v>
      </c>
    </row>
    <row r="55" spans="1:21" x14ac:dyDescent="0.2">
      <c r="A55" s="477"/>
      <c r="B55" s="488"/>
      <c r="C55" s="491"/>
      <c r="D55" s="1500"/>
      <c r="E55" s="492"/>
      <c r="F55" s="484"/>
      <c r="G55" s="474"/>
      <c r="H55" s="16"/>
      <c r="I55" s="316"/>
      <c r="J55" s="219"/>
      <c r="K55" s="219"/>
      <c r="L55" s="220"/>
      <c r="M55" s="45"/>
      <c r="N55" s="106"/>
      <c r="O55" s="1468"/>
      <c r="P55" s="494"/>
      <c r="Q55" s="494"/>
      <c r="R55" s="496"/>
      <c r="U55" s="88"/>
    </row>
    <row r="56" spans="1:21" ht="25.5" x14ac:dyDescent="0.2">
      <c r="A56" s="477"/>
      <c r="B56" s="488"/>
      <c r="C56" s="491"/>
      <c r="D56" s="1501"/>
      <c r="E56" s="500"/>
      <c r="F56" s="485"/>
      <c r="G56" s="486"/>
      <c r="H56" s="145"/>
      <c r="I56" s="231"/>
      <c r="J56" s="216"/>
      <c r="K56" s="216"/>
      <c r="L56" s="217"/>
      <c r="M56" s="36"/>
      <c r="N56" s="382"/>
      <c r="O56" s="66" t="s">
        <v>62</v>
      </c>
      <c r="P56" s="67">
        <v>102</v>
      </c>
      <c r="Q56" s="67">
        <v>102</v>
      </c>
      <c r="R56" s="68">
        <v>102</v>
      </c>
      <c r="U56" s="88"/>
    </row>
    <row r="57" spans="1:21" ht="25.5" x14ac:dyDescent="0.2">
      <c r="A57" s="477"/>
      <c r="B57" s="488"/>
      <c r="C57" s="491"/>
      <c r="D57" s="489" t="s">
        <v>160</v>
      </c>
      <c r="E57" s="492"/>
      <c r="F57" s="484"/>
      <c r="G57" s="474"/>
      <c r="H57" s="16"/>
      <c r="I57" s="316"/>
      <c r="J57" s="219"/>
      <c r="K57" s="219"/>
      <c r="L57" s="220"/>
      <c r="M57" s="35"/>
      <c r="N57" s="175"/>
      <c r="O57" s="487" t="s">
        <v>152</v>
      </c>
      <c r="P57" s="503">
        <v>1</v>
      </c>
      <c r="Q57" s="503"/>
      <c r="R57" s="504"/>
    </row>
    <row r="58" spans="1:21" x14ac:dyDescent="0.2">
      <c r="A58" s="294"/>
      <c r="B58" s="308"/>
      <c r="C58" s="315"/>
      <c r="D58" s="118" t="s">
        <v>153</v>
      </c>
      <c r="E58" s="296"/>
      <c r="F58" s="298"/>
      <c r="G58" s="292"/>
      <c r="H58" s="16"/>
      <c r="I58" s="316"/>
      <c r="J58" s="219"/>
      <c r="K58" s="219"/>
      <c r="L58" s="220"/>
      <c r="M58" s="35"/>
      <c r="N58" s="175"/>
      <c r="O58" s="66" t="s">
        <v>151</v>
      </c>
      <c r="P58" s="67">
        <v>1</v>
      </c>
      <c r="Q58" s="67"/>
      <c r="R58" s="68"/>
    </row>
    <row r="59" spans="1:21" ht="14.25" customHeight="1" x14ac:dyDescent="0.2">
      <c r="A59" s="294"/>
      <c r="B59" s="308"/>
      <c r="C59" s="315"/>
      <c r="D59" s="133" t="s">
        <v>156</v>
      </c>
      <c r="E59" s="296"/>
      <c r="F59" s="298"/>
      <c r="G59" s="292"/>
      <c r="H59" s="332"/>
      <c r="I59" s="316"/>
      <c r="J59" s="219"/>
      <c r="K59" s="219"/>
      <c r="L59" s="220"/>
      <c r="M59" s="35"/>
      <c r="N59" s="175"/>
      <c r="O59" s="1465" t="s">
        <v>204</v>
      </c>
      <c r="P59" s="306"/>
      <c r="Q59" s="306">
        <v>10</v>
      </c>
      <c r="R59" s="302">
        <v>90</v>
      </c>
    </row>
    <row r="60" spans="1:21" ht="15" customHeight="1" x14ac:dyDescent="0.2">
      <c r="A60" s="294"/>
      <c r="B60" s="308"/>
      <c r="C60" s="315"/>
      <c r="D60" s="1476"/>
      <c r="E60" s="296"/>
      <c r="F60" s="298"/>
      <c r="G60" s="292"/>
      <c r="H60" s="145"/>
      <c r="I60" s="231"/>
      <c r="J60" s="216"/>
      <c r="K60" s="216"/>
      <c r="L60" s="217"/>
      <c r="M60" s="36"/>
      <c r="N60" s="382"/>
      <c r="O60" s="1471"/>
      <c r="P60" s="305"/>
      <c r="Q60" s="305"/>
      <c r="R60" s="301"/>
    </row>
    <row r="61" spans="1:21" ht="27" customHeight="1" thickBot="1" x14ac:dyDescent="0.25">
      <c r="A61" s="295"/>
      <c r="B61" s="309"/>
      <c r="C61" s="342"/>
      <c r="D61" s="1487"/>
      <c r="E61" s="297"/>
      <c r="F61" s="299"/>
      <c r="G61" s="293"/>
      <c r="H61" s="280" t="s">
        <v>10</v>
      </c>
      <c r="I61" s="285">
        <f t="shared" ref="I61:N61" si="0">I45+I46</f>
        <v>1471.4</v>
      </c>
      <c r="J61" s="237">
        <f t="shared" si="0"/>
        <v>1418.4</v>
      </c>
      <c r="K61" s="237">
        <f t="shared" si="0"/>
        <v>742.4</v>
      </c>
      <c r="L61" s="247">
        <f t="shared" si="0"/>
        <v>53</v>
      </c>
      <c r="M61" s="278">
        <f t="shared" si="0"/>
        <v>1707.9</v>
      </c>
      <c r="N61" s="247">
        <f t="shared" si="0"/>
        <v>1261.9000000000001</v>
      </c>
      <c r="O61" s="310"/>
      <c r="P61" s="142"/>
      <c r="Q61" s="142"/>
      <c r="R61" s="34"/>
    </row>
    <row r="62" spans="1:21" ht="15" customHeight="1" x14ac:dyDescent="0.2">
      <c r="A62" s="1489" t="s">
        <v>9</v>
      </c>
      <c r="B62" s="1490" t="s">
        <v>9</v>
      </c>
      <c r="C62" s="1491" t="s">
        <v>53</v>
      </c>
      <c r="D62" s="1492" t="s">
        <v>116</v>
      </c>
      <c r="E62" s="1494"/>
      <c r="F62" s="1482" t="s">
        <v>41</v>
      </c>
      <c r="G62" s="1483" t="s">
        <v>40</v>
      </c>
      <c r="H62" s="339" t="s">
        <v>36</v>
      </c>
      <c r="I62" s="340">
        <f>J62</f>
        <v>6017.6</v>
      </c>
      <c r="J62" s="340">
        <v>6017.6</v>
      </c>
      <c r="K62" s="340">
        <f>K64+K67</f>
        <v>0</v>
      </c>
      <c r="L62" s="345">
        <f>L64+L67</f>
        <v>0</v>
      </c>
      <c r="M62" s="344">
        <v>7827.6</v>
      </c>
      <c r="N62" s="346">
        <v>8062</v>
      </c>
      <c r="O62" s="1502"/>
      <c r="P62" s="1503"/>
      <c r="Q62" s="1503"/>
      <c r="R62" s="1504"/>
    </row>
    <row r="63" spans="1:21" x14ac:dyDescent="0.2">
      <c r="A63" s="1444"/>
      <c r="B63" s="1445"/>
      <c r="C63" s="1446"/>
      <c r="D63" s="1493"/>
      <c r="E63" s="1408"/>
      <c r="F63" s="1412"/>
      <c r="G63" s="1413"/>
      <c r="H63" s="16"/>
      <c r="I63" s="246"/>
      <c r="J63" s="219"/>
      <c r="K63" s="219"/>
      <c r="L63" s="220"/>
      <c r="M63" s="45"/>
      <c r="N63" s="106"/>
      <c r="O63" s="1468"/>
      <c r="P63" s="1472"/>
      <c r="Q63" s="1472"/>
      <c r="R63" s="1474"/>
    </row>
    <row r="64" spans="1:21" ht="12.75" customHeight="1" x14ac:dyDescent="0.2">
      <c r="A64" s="1444"/>
      <c r="B64" s="1445"/>
      <c r="C64" s="1446"/>
      <c r="D64" s="1477" t="s">
        <v>65</v>
      </c>
      <c r="E64" s="1408"/>
      <c r="F64" s="1412"/>
      <c r="G64" s="1413"/>
      <c r="H64" s="16"/>
      <c r="I64" s="246"/>
      <c r="J64" s="219"/>
      <c r="K64" s="219"/>
      <c r="L64" s="220"/>
      <c r="M64" s="45"/>
      <c r="N64" s="106"/>
      <c r="O64" s="1465" t="s">
        <v>100</v>
      </c>
      <c r="P64" s="1508">
        <v>7.7</v>
      </c>
      <c r="Q64" s="1508">
        <v>7.8</v>
      </c>
      <c r="R64" s="1505">
        <v>7.8</v>
      </c>
    </row>
    <row r="65" spans="1:19" x14ac:dyDescent="0.2">
      <c r="A65" s="1444"/>
      <c r="B65" s="1445"/>
      <c r="C65" s="1446"/>
      <c r="D65" s="1476"/>
      <c r="E65" s="1408"/>
      <c r="F65" s="1412"/>
      <c r="G65" s="1413"/>
      <c r="H65" s="16"/>
      <c r="I65" s="246"/>
      <c r="J65" s="219"/>
      <c r="K65" s="219"/>
      <c r="L65" s="220"/>
      <c r="M65" s="45"/>
      <c r="N65" s="106"/>
      <c r="O65" s="1468"/>
      <c r="P65" s="1509"/>
      <c r="Q65" s="1509"/>
      <c r="R65" s="1506"/>
    </row>
    <row r="66" spans="1:19" x14ac:dyDescent="0.2">
      <c r="A66" s="1444"/>
      <c r="B66" s="1445"/>
      <c r="C66" s="1446"/>
      <c r="D66" s="1476"/>
      <c r="E66" s="1408"/>
      <c r="F66" s="1412"/>
      <c r="G66" s="1413"/>
      <c r="H66" s="347"/>
      <c r="I66" s="335"/>
      <c r="J66" s="321"/>
      <c r="K66" s="321"/>
      <c r="L66" s="336"/>
      <c r="M66" s="348"/>
      <c r="N66" s="349"/>
      <c r="O66" s="61"/>
      <c r="P66" s="503"/>
      <c r="Q66" s="503"/>
      <c r="R66" s="504"/>
    </row>
    <row r="67" spans="1:19" ht="12.75" customHeight="1" x14ac:dyDescent="0.2">
      <c r="A67" s="1444"/>
      <c r="B67" s="1445"/>
      <c r="C67" s="1446"/>
      <c r="D67" s="1477" t="s">
        <v>64</v>
      </c>
      <c r="E67" s="1507" t="s">
        <v>184</v>
      </c>
      <c r="F67" s="1412"/>
      <c r="G67" s="1413"/>
      <c r="H67" s="16"/>
      <c r="I67" s="246"/>
      <c r="J67" s="219"/>
      <c r="K67" s="219"/>
      <c r="L67" s="220"/>
      <c r="M67" s="45"/>
      <c r="N67" s="106"/>
      <c r="O67" s="1468" t="s">
        <v>196</v>
      </c>
      <c r="P67" s="1510">
        <v>14.2</v>
      </c>
      <c r="Q67" s="1510">
        <v>14.4</v>
      </c>
      <c r="R67" s="1511">
        <v>14.6</v>
      </c>
    </row>
    <row r="68" spans="1:19" x14ac:dyDescent="0.2">
      <c r="A68" s="1444"/>
      <c r="B68" s="1445"/>
      <c r="C68" s="1446"/>
      <c r="D68" s="1476"/>
      <c r="E68" s="1507"/>
      <c r="F68" s="1412"/>
      <c r="G68" s="1413"/>
      <c r="H68" s="16"/>
      <c r="I68" s="246"/>
      <c r="J68" s="219"/>
      <c r="K68" s="219"/>
      <c r="L68" s="220"/>
      <c r="M68" s="45"/>
      <c r="N68" s="106"/>
      <c r="O68" s="1468"/>
      <c r="P68" s="1510"/>
      <c r="Q68" s="1510"/>
      <c r="R68" s="1511"/>
    </row>
    <row r="69" spans="1:19" ht="17.25" customHeight="1" x14ac:dyDescent="0.2">
      <c r="A69" s="1444"/>
      <c r="B69" s="1445"/>
      <c r="C69" s="1446"/>
      <c r="D69" s="1476"/>
      <c r="E69" s="1507"/>
      <c r="F69" s="1412"/>
      <c r="G69" s="1413"/>
      <c r="H69" s="16"/>
      <c r="I69" s="246"/>
      <c r="J69" s="219"/>
      <c r="K69" s="219"/>
      <c r="L69" s="220"/>
      <c r="M69" s="35"/>
      <c r="N69" s="175"/>
      <c r="O69" s="17" t="s">
        <v>145</v>
      </c>
      <c r="P69" s="107">
        <v>420</v>
      </c>
      <c r="Q69" s="107">
        <v>0</v>
      </c>
      <c r="R69" s="108">
        <v>0</v>
      </c>
    </row>
    <row r="70" spans="1:19" x14ac:dyDescent="0.2">
      <c r="A70" s="1444"/>
      <c r="B70" s="1445"/>
      <c r="C70" s="1446"/>
      <c r="D70" s="1478"/>
      <c r="E70" s="1507"/>
      <c r="F70" s="1412"/>
      <c r="G70" s="1413"/>
      <c r="H70" s="347"/>
      <c r="I70" s="335"/>
      <c r="J70" s="321"/>
      <c r="K70" s="321"/>
      <c r="L70" s="336"/>
      <c r="M70" s="348"/>
      <c r="N70" s="349"/>
      <c r="O70" s="61" t="s">
        <v>197</v>
      </c>
      <c r="P70" s="503">
        <v>89</v>
      </c>
      <c r="Q70" s="503">
        <v>100</v>
      </c>
      <c r="R70" s="504">
        <v>100</v>
      </c>
    </row>
    <row r="71" spans="1:19" x14ac:dyDescent="0.2">
      <c r="A71" s="1444"/>
      <c r="B71" s="1445"/>
      <c r="C71" s="1446"/>
      <c r="D71" s="1476" t="s">
        <v>66</v>
      </c>
      <c r="E71" s="1408"/>
      <c r="F71" s="1412"/>
      <c r="G71" s="1413"/>
      <c r="H71" s="16"/>
      <c r="I71" s="246"/>
      <c r="J71" s="219"/>
      <c r="K71" s="219"/>
      <c r="L71" s="220"/>
      <c r="M71" s="45"/>
      <c r="N71" s="106"/>
      <c r="O71" s="60" t="s">
        <v>102</v>
      </c>
      <c r="P71" s="509"/>
      <c r="Q71" s="509">
        <v>27</v>
      </c>
      <c r="R71" s="508"/>
    </row>
    <row r="72" spans="1:19" x14ac:dyDescent="0.2">
      <c r="A72" s="1444"/>
      <c r="B72" s="1445"/>
      <c r="C72" s="1446"/>
      <c r="D72" s="1478"/>
      <c r="E72" s="1408"/>
      <c r="F72" s="1412"/>
      <c r="G72" s="1413"/>
      <c r="H72" s="347"/>
      <c r="I72" s="335"/>
      <c r="J72" s="321"/>
      <c r="K72" s="321"/>
      <c r="L72" s="336"/>
      <c r="M72" s="348"/>
      <c r="N72" s="349"/>
      <c r="O72" s="61"/>
      <c r="P72" s="503"/>
      <c r="Q72" s="503"/>
      <c r="R72" s="504"/>
    </row>
    <row r="73" spans="1:19" x14ac:dyDescent="0.2">
      <c r="A73" s="1444"/>
      <c r="B73" s="1445"/>
      <c r="C73" s="1446"/>
      <c r="D73" s="1476" t="s">
        <v>67</v>
      </c>
      <c r="E73" s="1408"/>
      <c r="F73" s="1412"/>
      <c r="G73" s="1413"/>
      <c r="H73" s="12" t="s">
        <v>94</v>
      </c>
      <c r="I73" s="218">
        <f>J73</f>
        <v>2038</v>
      </c>
      <c r="J73" s="224">
        <v>2038</v>
      </c>
      <c r="K73" s="224"/>
      <c r="L73" s="225"/>
      <c r="M73" s="356"/>
      <c r="N73" s="357"/>
      <c r="O73" s="17" t="s">
        <v>68</v>
      </c>
      <c r="P73" s="494"/>
      <c r="Q73" s="494">
        <v>94</v>
      </c>
      <c r="R73" s="496"/>
    </row>
    <row r="74" spans="1:19" ht="18" customHeight="1" thickBot="1" x14ac:dyDescent="0.25">
      <c r="A74" s="1484"/>
      <c r="B74" s="1485"/>
      <c r="C74" s="1486"/>
      <c r="D74" s="1487"/>
      <c r="E74" s="1512"/>
      <c r="F74" s="1488"/>
      <c r="G74" s="1497"/>
      <c r="H74" s="564"/>
      <c r="I74" s="270"/>
      <c r="J74" s="565"/>
      <c r="K74" s="565"/>
      <c r="L74" s="566"/>
      <c r="M74" s="567"/>
      <c r="N74" s="568"/>
      <c r="O74" s="18"/>
      <c r="P74" s="507"/>
      <c r="Q74" s="507"/>
      <c r="R74" s="506"/>
    </row>
    <row r="75" spans="1:19" ht="25.5" customHeight="1" x14ac:dyDescent="0.2">
      <c r="A75" s="294"/>
      <c r="B75" s="308"/>
      <c r="C75" s="315"/>
      <c r="D75" s="489" t="s">
        <v>132</v>
      </c>
      <c r="E75" s="296"/>
      <c r="F75" s="298"/>
      <c r="G75" s="292"/>
      <c r="H75" s="16"/>
      <c r="I75" s="246"/>
      <c r="J75" s="219"/>
      <c r="K75" s="219"/>
      <c r="L75" s="220"/>
      <c r="M75" s="45"/>
      <c r="N75" s="106"/>
      <c r="O75" s="61" t="s">
        <v>117</v>
      </c>
      <c r="P75" s="503"/>
      <c r="Q75" s="503">
        <v>33</v>
      </c>
      <c r="R75" s="504">
        <v>33</v>
      </c>
    </row>
    <row r="76" spans="1:19" ht="17.25" customHeight="1" x14ac:dyDescent="0.2">
      <c r="A76" s="1444"/>
      <c r="B76" s="1445"/>
      <c r="C76" s="1446"/>
      <c r="D76" s="1476" t="s">
        <v>133</v>
      </c>
      <c r="E76" s="1408"/>
      <c r="F76" s="1412"/>
      <c r="G76" s="1413"/>
      <c r="H76" s="145"/>
      <c r="I76" s="215"/>
      <c r="J76" s="216"/>
      <c r="K76" s="216"/>
      <c r="L76" s="217"/>
      <c r="M76" s="65"/>
      <c r="N76" s="105"/>
      <c r="O76" s="1468" t="s">
        <v>69</v>
      </c>
      <c r="P76" s="307"/>
      <c r="Q76" s="307">
        <v>9</v>
      </c>
      <c r="R76" s="303">
        <v>7</v>
      </c>
    </row>
    <row r="77" spans="1:19" ht="24.75" customHeight="1" thickBot="1" x14ac:dyDescent="0.25">
      <c r="A77" s="1484"/>
      <c r="B77" s="1485"/>
      <c r="C77" s="1486"/>
      <c r="D77" s="1487"/>
      <c r="E77" s="1512"/>
      <c r="F77" s="1488"/>
      <c r="G77" s="1497"/>
      <c r="H77" s="280" t="s">
        <v>10</v>
      </c>
      <c r="I77" s="242">
        <f>I62+I73</f>
        <v>8055.6</v>
      </c>
      <c r="J77" s="237">
        <f>J62+J73</f>
        <v>8055.6</v>
      </c>
      <c r="K77" s="237">
        <f>SUM(K76:K76)</f>
        <v>0</v>
      </c>
      <c r="L77" s="241">
        <f>SUM(L76:L76)</f>
        <v>0</v>
      </c>
      <c r="M77" s="278">
        <f>M62</f>
        <v>7827.6</v>
      </c>
      <c r="N77" s="245">
        <f>N62</f>
        <v>8062</v>
      </c>
      <c r="O77" s="1498"/>
      <c r="P77" s="142"/>
      <c r="Q77" s="142"/>
      <c r="R77" s="34"/>
    </row>
    <row r="78" spans="1:19" ht="19.5" customHeight="1" x14ac:dyDescent="0.2">
      <c r="A78" s="1489" t="s">
        <v>9</v>
      </c>
      <c r="B78" s="1490" t="s">
        <v>9</v>
      </c>
      <c r="C78" s="1491" t="s">
        <v>54</v>
      </c>
      <c r="D78" s="1513" t="s">
        <v>167</v>
      </c>
      <c r="E78" s="1494"/>
      <c r="F78" s="1482" t="s">
        <v>38</v>
      </c>
      <c r="G78" s="1519" t="s">
        <v>95</v>
      </c>
      <c r="H78" s="15" t="s">
        <v>36</v>
      </c>
      <c r="I78" s="239">
        <f>J78+L78</f>
        <v>610.4</v>
      </c>
      <c r="J78" s="229">
        <v>610.4</v>
      </c>
      <c r="K78" s="229"/>
      <c r="L78" s="240"/>
      <c r="M78" s="46">
        <f>50+577</f>
        <v>627</v>
      </c>
      <c r="N78" s="46">
        <f>50+577</f>
        <v>627</v>
      </c>
      <c r="O78" s="1502" t="s">
        <v>103</v>
      </c>
      <c r="P78" s="304">
        <f>57+15</f>
        <v>72</v>
      </c>
      <c r="Q78" s="304">
        <f>15+57</f>
        <v>72</v>
      </c>
      <c r="R78" s="300">
        <f>15+57</f>
        <v>72</v>
      </c>
    </row>
    <row r="79" spans="1:19" ht="21" customHeight="1" x14ac:dyDescent="0.2">
      <c r="A79" s="1444"/>
      <c r="B79" s="1445"/>
      <c r="C79" s="1446"/>
      <c r="D79" s="1514"/>
      <c r="E79" s="1408"/>
      <c r="F79" s="1412"/>
      <c r="G79" s="1520"/>
      <c r="H79" s="25"/>
      <c r="I79" s="233">
        <f>J79+L79</f>
        <v>0</v>
      </c>
      <c r="J79" s="219"/>
      <c r="K79" s="219"/>
      <c r="L79" s="243"/>
      <c r="M79" s="69"/>
      <c r="N79" s="69"/>
      <c r="O79" s="1468"/>
      <c r="P79" s="307"/>
      <c r="Q79" s="307"/>
      <c r="R79" s="303"/>
    </row>
    <row r="80" spans="1:19" ht="16.5" customHeight="1" x14ac:dyDescent="0.2">
      <c r="A80" s="1444"/>
      <c r="B80" s="1445"/>
      <c r="C80" s="1446"/>
      <c r="D80" s="1514"/>
      <c r="E80" s="1408"/>
      <c r="F80" s="1412"/>
      <c r="G80" s="1520"/>
      <c r="H80" s="16"/>
      <c r="I80" s="231">
        <f>J80+L80</f>
        <v>0</v>
      </c>
      <c r="J80" s="224"/>
      <c r="K80" s="224"/>
      <c r="L80" s="244"/>
      <c r="M80" s="23"/>
      <c r="N80" s="23"/>
      <c r="O80" s="17"/>
      <c r="P80" s="307"/>
      <c r="Q80" s="307"/>
      <c r="R80" s="303"/>
      <c r="S80" s="48"/>
    </row>
    <row r="81" spans="1:21" ht="22.5" customHeight="1" thickBot="1" x14ac:dyDescent="0.25">
      <c r="A81" s="1484"/>
      <c r="B81" s="1485"/>
      <c r="C81" s="1486"/>
      <c r="D81" s="1515"/>
      <c r="E81" s="1512"/>
      <c r="F81" s="1488"/>
      <c r="G81" s="1521"/>
      <c r="H81" s="280" t="s">
        <v>10</v>
      </c>
      <c r="I81" s="236">
        <f t="shared" ref="I81:N81" si="1">SUM(I78:I80)</f>
        <v>610.4</v>
      </c>
      <c r="J81" s="242">
        <f t="shared" si="1"/>
        <v>610.4</v>
      </c>
      <c r="K81" s="242">
        <f t="shared" si="1"/>
        <v>0</v>
      </c>
      <c r="L81" s="245">
        <f t="shared" si="1"/>
        <v>0</v>
      </c>
      <c r="M81" s="278">
        <f t="shared" si="1"/>
        <v>627</v>
      </c>
      <c r="N81" s="278">
        <f t="shared" si="1"/>
        <v>627</v>
      </c>
      <c r="O81" s="18"/>
      <c r="P81" s="142"/>
      <c r="Q81" s="142"/>
      <c r="R81" s="34"/>
    </row>
    <row r="82" spans="1:21" ht="16.5" customHeight="1" x14ac:dyDescent="0.2">
      <c r="A82" s="1489" t="s">
        <v>9</v>
      </c>
      <c r="B82" s="1490" t="s">
        <v>9</v>
      </c>
      <c r="C82" s="1491" t="s">
        <v>41</v>
      </c>
      <c r="D82" s="1522" t="s">
        <v>154</v>
      </c>
      <c r="E82" s="1525" t="s">
        <v>91</v>
      </c>
      <c r="F82" s="1482" t="s">
        <v>54</v>
      </c>
      <c r="G82" s="209" t="s">
        <v>90</v>
      </c>
      <c r="H82" s="15" t="s">
        <v>36</v>
      </c>
      <c r="I82" s="228">
        <f>J82+L82</f>
        <v>3.5</v>
      </c>
      <c r="J82" s="229">
        <f>1.9+1.6</f>
        <v>3.5</v>
      </c>
      <c r="K82" s="229"/>
      <c r="L82" s="230"/>
      <c r="M82" s="46"/>
      <c r="N82" s="109"/>
      <c r="O82" s="1502" t="s">
        <v>111</v>
      </c>
      <c r="P82" s="1516">
        <v>12</v>
      </c>
      <c r="Q82" s="1503"/>
      <c r="R82" s="1504"/>
    </row>
    <row r="83" spans="1:21" ht="16.5" customHeight="1" x14ac:dyDescent="0.2">
      <c r="A83" s="1444"/>
      <c r="B83" s="1445"/>
      <c r="C83" s="1446"/>
      <c r="D83" s="1523"/>
      <c r="E83" s="1526"/>
      <c r="F83" s="1412"/>
      <c r="G83" s="208"/>
      <c r="H83" s="25" t="s">
        <v>88</v>
      </c>
      <c r="I83" s="221">
        <f>J83+L83</f>
        <v>598.79999999999995</v>
      </c>
      <c r="J83" s="219"/>
      <c r="K83" s="219"/>
      <c r="L83" s="220">
        <v>598.79999999999995</v>
      </c>
      <c r="M83" s="69"/>
      <c r="N83" s="103"/>
      <c r="O83" s="1468"/>
      <c r="P83" s="1517"/>
      <c r="Q83" s="1472"/>
      <c r="R83" s="1474"/>
    </row>
    <row r="84" spans="1:21" ht="17.25" customHeight="1" x14ac:dyDescent="0.2">
      <c r="A84" s="1444"/>
      <c r="B84" s="1445"/>
      <c r="C84" s="1446"/>
      <c r="D84" s="1523"/>
      <c r="E84" s="49"/>
      <c r="F84" s="1412"/>
      <c r="G84" s="213" t="s">
        <v>203</v>
      </c>
      <c r="H84" s="25" t="s">
        <v>92</v>
      </c>
      <c r="I84" s="215">
        <f>J84+L84</f>
        <v>0</v>
      </c>
      <c r="J84" s="224"/>
      <c r="K84" s="224"/>
      <c r="L84" s="225"/>
      <c r="M84" s="23"/>
      <c r="N84" s="104"/>
      <c r="O84" s="1468"/>
      <c r="P84" s="63"/>
      <c r="Q84" s="63"/>
      <c r="R84" s="405"/>
    </row>
    <row r="85" spans="1:21" ht="20.25" customHeight="1" x14ac:dyDescent="0.2">
      <c r="A85" s="1444"/>
      <c r="B85" s="1445"/>
      <c r="C85" s="1446"/>
      <c r="D85" s="1523"/>
      <c r="E85" s="49"/>
      <c r="F85" s="1412"/>
      <c r="G85" s="208"/>
      <c r="H85" s="25" t="s">
        <v>36</v>
      </c>
      <c r="I85" s="221">
        <f>J85+L85</f>
        <v>0.5</v>
      </c>
      <c r="J85" s="222">
        <v>0.5</v>
      </c>
      <c r="K85" s="222">
        <v>0.3</v>
      </c>
      <c r="L85" s="223"/>
      <c r="M85" s="123"/>
      <c r="N85" s="174"/>
      <c r="O85" s="1518"/>
      <c r="P85" s="406"/>
      <c r="Q85" s="406"/>
      <c r="R85" s="405"/>
    </row>
    <row r="86" spans="1:21" ht="14.25" customHeight="1" x14ac:dyDescent="0.2">
      <c r="A86" s="1444"/>
      <c r="B86" s="1445"/>
      <c r="C86" s="1446"/>
      <c r="D86" s="1523"/>
      <c r="E86" s="49"/>
      <c r="F86" s="1412"/>
      <c r="G86" s="208"/>
      <c r="H86" s="16" t="s">
        <v>36</v>
      </c>
      <c r="I86" s="246"/>
      <c r="J86" s="219"/>
      <c r="K86" s="219"/>
      <c r="L86" s="220"/>
      <c r="M86" s="35"/>
      <c r="N86" s="175"/>
      <c r="O86" s="1518"/>
      <c r="P86" s="63"/>
      <c r="Q86" s="63"/>
      <c r="R86" s="405"/>
    </row>
    <row r="87" spans="1:21" ht="21.75" customHeight="1" thickBot="1" x14ac:dyDescent="0.25">
      <c r="A87" s="1484"/>
      <c r="B87" s="1485"/>
      <c r="C87" s="1486"/>
      <c r="D87" s="1524"/>
      <c r="E87" s="50"/>
      <c r="F87" s="1488"/>
      <c r="G87" s="210"/>
      <c r="H87" s="280" t="s">
        <v>10</v>
      </c>
      <c r="I87" s="242">
        <f>SUM(I82:I86)</f>
        <v>602.79999999999995</v>
      </c>
      <c r="J87" s="242">
        <f>SUM(J82:J86)</f>
        <v>4</v>
      </c>
      <c r="K87" s="242">
        <f>SUM(K82:K86)</f>
        <v>0.3</v>
      </c>
      <c r="L87" s="247">
        <f>SUM(L82:L86)</f>
        <v>598.79999999999995</v>
      </c>
      <c r="M87" s="278">
        <f>M86</f>
        <v>0</v>
      </c>
      <c r="N87" s="242">
        <f>SUM(N82:N86)</f>
        <v>0</v>
      </c>
      <c r="O87" s="1527"/>
      <c r="P87" s="142"/>
      <c r="Q87" s="142"/>
      <c r="R87" s="34"/>
    </row>
    <row r="88" spans="1:21" ht="12.75" customHeight="1" x14ac:dyDescent="0.2">
      <c r="A88" s="1489" t="s">
        <v>9</v>
      </c>
      <c r="B88" s="1490" t="s">
        <v>9</v>
      </c>
      <c r="C88" s="1491" t="s">
        <v>55</v>
      </c>
      <c r="D88" s="1499" t="s">
        <v>129</v>
      </c>
      <c r="E88" s="1494"/>
      <c r="F88" s="1482" t="s">
        <v>54</v>
      </c>
      <c r="G88" s="1483" t="s">
        <v>40</v>
      </c>
      <c r="H88" s="15" t="s">
        <v>36</v>
      </c>
      <c r="I88" s="239">
        <f>J88+L88</f>
        <v>150</v>
      </c>
      <c r="J88" s="229">
        <v>150</v>
      </c>
      <c r="K88" s="229"/>
      <c r="L88" s="230"/>
      <c r="M88" s="46"/>
      <c r="N88" s="46"/>
      <c r="O88" s="214" t="s">
        <v>57</v>
      </c>
      <c r="P88" s="212">
        <v>4</v>
      </c>
      <c r="Q88" s="212"/>
      <c r="R88" s="211"/>
    </row>
    <row r="89" spans="1:21" x14ac:dyDescent="0.2">
      <c r="A89" s="1444"/>
      <c r="B89" s="1445"/>
      <c r="C89" s="1446"/>
      <c r="D89" s="1476"/>
      <c r="E89" s="1408"/>
      <c r="F89" s="1412"/>
      <c r="G89" s="1413"/>
      <c r="H89" s="117"/>
      <c r="I89" s="233"/>
      <c r="J89" s="222"/>
      <c r="K89" s="222"/>
      <c r="L89" s="223"/>
      <c r="M89" s="51"/>
      <c r="N89" s="51"/>
      <c r="O89" s="17"/>
      <c r="P89" s="212"/>
      <c r="Q89" s="212"/>
      <c r="R89" s="211"/>
    </row>
    <row r="90" spans="1:21" ht="13.5" thickBot="1" x14ac:dyDescent="0.25">
      <c r="A90" s="1484"/>
      <c r="B90" s="1485"/>
      <c r="C90" s="1486"/>
      <c r="D90" s="1487"/>
      <c r="E90" s="1512"/>
      <c r="F90" s="1488"/>
      <c r="G90" s="210"/>
      <c r="H90" s="280" t="s">
        <v>10</v>
      </c>
      <c r="I90" s="242">
        <f t="shared" ref="I90:N90" si="2">SUM(I88:I89)</f>
        <v>150</v>
      </c>
      <c r="J90" s="237">
        <f t="shared" si="2"/>
        <v>150</v>
      </c>
      <c r="K90" s="237">
        <f t="shared" si="2"/>
        <v>0</v>
      </c>
      <c r="L90" s="237">
        <f t="shared" si="2"/>
        <v>0</v>
      </c>
      <c r="M90" s="278">
        <f t="shared" si="2"/>
        <v>0</v>
      </c>
      <c r="N90" s="278">
        <f t="shared" si="2"/>
        <v>0</v>
      </c>
      <c r="O90" s="18"/>
      <c r="P90" s="142"/>
      <c r="Q90" s="142"/>
      <c r="R90" s="34"/>
    </row>
    <row r="91" spans="1:21" ht="21" customHeight="1" x14ac:dyDescent="0.2">
      <c r="A91" s="1489" t="s">
        <v>9</v>
      </c>
      <c r="B91" s="1490" t="s">
        <v>9</v>
      </c>
      <c r="C91" s="1532" t="s">
        <v>44</v>
      </c>
      <c r="D91" s="1522" t="s">
        <v>188</v>
      </c>
      <c r="E91" s="1535" t="s">
        <v>169</v>
      </c>
      <c r="F91" s="1538" t="s">
        <v>53</v>
      </c>
      <c r="G91" s="1483" t="s">
        <v>90</v>
      </c>
      <c r="H91" s="339" t="s">
        <v>92</v>
      </c>
      <c r="I91" s="228">
        <f>J91+L91</f>
        <v>445</v>
      </c>
      <c r="J91" s="268"/>
      <c r="K91" s="268"/>
      <c r="L91" s="269">
        <v>445</v>
      </c>
      <c r="M91" s="311">
        <v>49.5</v>
      </c>
      <c r="N91" s="109"/>
      <c r="O91" s="1528" t="s">
        <v>200</v>
      </c>
      <c r="P91" s="146">
        <v>50</v>
      </c>
      <c r="Q91" s="146">
        <v>50</v>
      </c>
      <c r="R91" s="147"/>
    </row>
    <row r="92" spans="1:21" ht="18" customHeight="1" x14ac:dyDescent="0.2">
      <c r="A92" s="1444"/>
      <c r="B92" s="1445"/>
      <c r="C92" s="1533"/>
      <c r="D92" s="1523"/>
      <c r="E92" s="1536"/>
      <c r="F92" s="1449"/>
      <c r="G92" s="1413"/>
      <c r="H92" s="12" t="s">
        <v>36</v>
      </c>
      <c r="I92" s="215">
        <f>L92</f>
        <v>0.1</v>
      </c>
      <c r="J92" s="224"/>
      <c r="K92" s="224"/>
      <c r="L92" s="225">
        <v>0.1</v>
      </c>
      <c r="M92" s="83"/>
      <c r="N92" s="55"/>
      <c r="O92" s="1450"/>
      <c r="P92" s="75"/>
      <c r="Q92" s="75"/>
      <c r="R92" s="76"/>
    </row>
    <row r="93" spans="1:21" ht="27" customHeight="1" x14ac:dyDescent="0.2">
      <c r="A93" s="1444"/>
      <c r="B93" s="1445"/>
      <c r="C93" s="1533"/>
      <c r="D93" s="1523"/>
      <c r="E93" s="1536"/>
      <c r="F93" s="1449"/>
      <c r="G93" s="1413"/>
      <c r="H93" s="12" t="s">
        <v>93</v>
      </c>
      <c r="I93" s="215">
        <f>J93+L93</f>
        <v>93.4</v>
      </c>
      <c r="J93" s="224"/>
      <c r="K93" s="224"/>
      <c r="L93" s="225">
        <v>93.4</v>
      </c>
      <c r="M93" s="83">
        <v>10.4</v>
      </c>
      <c r="N93" s="103"/>
      <c r="O93" s="1451"/>
      <c r="P93" s="78"/>
      <c r="Q93" s="78"/>
      <c r="R93" s="148"/>
    </row>
    <row r="94" spans="1:21" ht="29.25" thickBot="1" x14ac:dyDescent="0.25">
      <c r="A94" s="1484"/>
      <c r="B94" s="1485"/>
      <c r="C94" s="1534"/>
      <c r="D94" s="1524"/>
      <c r="E94" s="1537"/>
      <c r="F94" s="1539"/>
      <c r="G94" s="1497"/>
      <c r="H94" s="280" t="s">
        <v>10</v>
      </c>
      <c r="I94" s="242">
        <f t="shared" ref="I94:N94" si="3">SUM(I91:I93)</f>
        <v>538.5</v>
      </c>
      <c r="J94" s="242">
        <f t="shared" si="3"/>
        <v>0</v>
      </c>
      <c r="K94" s="242">
        <f t="shared" si="3"/>
        <v>0</v>
      </c>
      <c r="L94" s="247">
        <f t="shared" si="3"/>
        <v>538.5</v>
      </c>
      <c r="M94" s="278">
        <f>SUM(M91:M93)</f>
        <v>59.9</v>
      </c>
      <c r="N94" s="242">
        <f t="shared" si="3"/>
        <v>0</v>
      </c>
      <c r="O94" s="136" t="s">
        <v>199</v>
      </c>
      <c r="P94" s="481">
        <v>50</v>
      </c>
      <c r="Q94" s="481">
        <v>50</v>
      </c>
      <c r="R94" s="483"/>
      <c r="S94" s="14"/>
      <c r="U94" s="13"/>
    </row>
    <row r="95" spans="1:21" ht="18" customHeight="1" x14ac:dyDescent="0.2">
      <c r="A95" s="363" t="s">
        <v>9</v>
      </c>
      <c r="B95" s="422" t="s">
        <v>9</v>
      </c>
      <c r="C95" s="425" t="s">
        <v>161</v>
      </c>
      <c r="D95" s="1522" t="s">
        <v>179</v>
      </c>
      <c r="E95" s="426"/>
      <c r="F95" s="186"/>
      <c r="G95" s="190"/>
      <c r="H95" s="455" t="s">
        <v>36</v>
      </c>
      <c r="I95" s="248">
        <f>J95+L95</f>
        <v>69.2</v>
      </c>
      <c r="J95" s="249">
        <v>19.2</v>
      </c>
      <c r="K95" s="249"/>
      <c r="L95" s="250">
        <v>50</v>
      </c>
      <c r="M95" s="201">
        <v>150</v>
      </c>
      <c r="N95" s="201"/>
      <c r="O95" s="1530" t="s">
        <v>177</v>
      </c>
      <c r="P95" s="184">
        <f>P98+P99+P100+P101+P102+P106</f>
        <v>4</v>
      </c>
      <c r="Q95" s="428">
        <v>2</v>
      </c>
      <c r="R95" s="430"/>
    </row>
    <row r="96" spans="1:21" ht="22.5" customHeight="1" x14ac:dyDescent="0.2">
      <c r="A96" s="94"/>
      <c r="B96" s="423"/>
      <c r="C96" s="424"/>
      <c r="D96" s="1529"/>
      <c r="E96" s="432"/>
      <c r="F96" s="196"/>
      <c r="G96" s="197"/>
      <c r="H96" s="456" t="s">
        <v>88</v>
      </c>
      <c r="I96" s="251"/>
      <c r="J96" s="252"/>
      <c r="K96" s="252"/>
      <c r="L96" s="253"/>
      <c r="M96" s="202">
        <v>227.3</v>
      </c>
      <c r="N96" s="202">
        <v>243.3</v>
      </c>
      <c r="O96" s="1531"/>
      <c r="P96" s="183"/>
      <c r="Q96" s="429"/>
      <c r="R96" s="431"/>
    </row>
    <row r="97" spans="1:21" ht="25.5" x14ac:dyDescent="0.2">
      <c r="A97" s="94"/>
      <c r="B97" s="423"/>
      <c r="C97" s="424"/>
      <c r="D97" s="350" t="s">
        <v>178</v>
      </c>
      <c r="E97" s="427"/>
      <c r="F97" s="187" t="s">
        <v>41</v>
      </c>
      <c r="G97" s="191" t="s">
        <v>90</v>
      </c>
      <c r="H97" s="456" t="s">
        <v>92</v>
      </c>
      <c r="I97" s="251">
        <f>J97</f>
        <v>108.4</v>
      </c>
      <c r="J97" s="252">
        <v>108.4</v>
      </c>
      <c r="K97" s="252"/>
      <c r="L97" s="253"/>
      <c r="M97" s="202">
        <v>2802.7</v>
      </c>
      <c r="N97" s="202">
        <v>2999.4</v>
      </c>
      <c r="O97" s="194"/>
      <c r="P97" s="183"/>
      <c r="Q97" s="429"/>
      <c r="R97" s="431"/>
    </row>
    <row r="98" spans="1:21" ht="30" customHeight="1" x14ac:dyDescent="0.2">
      <c r="A98" s="364"/>
      <c r="B98" s="440"/>
      <c r="C98" s="360"/>
      <c r="D98" s="195" t="s">
        <v>172</v>
      </c>
      <c r="E98" s="435" t="s">
        <v>182</v>
      </c>
      <c r="F98" s="189"/>
      <c r="G98" s="193"/>
      <c r="H98" s="457"/>
      <c r="I98" s="436"/>
      <c r="J98" s="437"/>
      <c r="K98" s="437"/>
      <c r="L98" s="438"/>
      <c r="M98" s="439"/>
      <c r="N98" s="439"/>
      <c r="O98" s="130" t="s">
        <v>176</v>
      </c>
      <c r="P98" s="131">
        <v>1</v>
      </c>
      <c r="Q98" s="131"/>
      <c r="R98" s="127"/>
    </row>
    <row r="99" spans="1:21" ht="41.25" customHeight="1" x14ac:dyDescent="0.2">
      <c r="A99" s="361"/>
      <c r="B99" s="362"/>
      <c r="C99" s="360"/>
      <c r="D99" s="433" t="s">
        <v>173</v>
      </c>
      <c r="E99" s="434" t="s">
        <v>182</v>
      </c>
      <c r="F99" s="188"/>
      <c r="G99" s="192"/>
      <c r="H99" s="458"/>
      <c r="I99" s="254"/>
      <c r="J99" s="255"/>
      <c r="K99" s="255"/>
      <c r="L99" s="256"/>
      <c r="M99" s="203"/>
      <c r="N99" s="203"/>
      <c r="O99" s="179" t="s">
        <v>176</v>
      </c>
      <c r="P99" s="178">
        <v>1</v>
      </c>
      <c r="Q99" s="178"/>
      <c r="R99" s="132"/>
    </row>
    <row r="100" spans="1:21" ht="38.25" x14ac:dyDescent="0.2">
      <c r="A100" s="361"/>
      <c r="B100" s="362"/>
      <c r="C100" s="360"/>
      <c r="D100" s="195" t="s">
        <v>174</v>
      </c>
      <c r="E100" s="200" t="s">
        <v>183</v>
      </c>
      <c r="F100" s="188"/>
      <c r="G100" s="192"/>
      <c r="H100" s="458"/>
      <c r="I100" s="254"/>
      <c r="J100" s="255"/>
      <c r="K100" s="255"/>
      <c r="L100" s="256"/>
      <c r="M100" s="203"/>
      <c r="N100" s="203"/>
      <c r="O100" s="180" t="s">
        <v>176</v>
      </c>
      <c r="P100" s="181">
        <v>1</v>
      </c>
      <c r="Q100" s="181"/>
      <c r="R100" s="182"/>
    </row>
    <row r="101" spans="1:21" ht="38.25" x14ac:dyDescent="0.2">
      <c r="A101" s="361"/>
      <c r="B101" s="362"/>
      <c r="C101" s="360"/>
      <c r="D101" s="195" t="s">
        <v>175</v>
      </c>
      <c r="E101" s="185"/>
      <c r="F101" s="189"/>
      <c r="G101" s="193"/>
      <c r="H101" s="459"/>
      <c r="I101" s="352"/>
      <c r="J101" s="353"/>
      <c r="K101" s="353"/>
      <c r="L101" s="354"/>
      <c r="M101" s="463"/>
      <c r="N101" s="355"/>
      <c r="O101" s="130" t="s">
        <v>176</v>
      </c>
      <c r="P101" s="178">
        <v>1</v>
      </c>
      <c r="Q101" s="178"/>
      <c r="R101" s="132"/>
    </row>
    <row r="102" spans="1:21" ht="12.75" customHeight="1" x14ac:dyDescent="0.2">
      <c r="A102" s="1444"/>
      <c r="B102" s="1544"/>
      <c r="C102" s="1533"/>
      <c r="D102" s="1545" t="s">
        <v>165</v>
      </c>
      <c r="E102" s="1526" t="s">
        <v>91</v>
      </c>
      <c r="F102" s="1449" t="s">
        <v>53</v>
      </c>
      <c r="G102" s="1413" t="s">
        <v>90</v>
      </c>
      <c r="H102" s="460"/>
      <c r="I102" s="359"/>
      <c r="J102" s="224"/>
      <c r="K102" s="224"/>
      <c r="L102" s="244"/>
      <c r="M102" s="357"/>
      <c r="N102" s="357"/>
      <c r="O102" s="1540" t="s">
        <v>159</v>
      </c>
      <c r="P102" s="54"/>
      <c r="Q102" s="53">
        <v>1</v>
      </c>
      <c r="R102" s="173"/>
      <c r="U102" s="13"/>
    </row>
    <row r="103" spans="1:21" x14ac:dyDescent="0.2">
      <c r="A103" s="1444"/>
      <c r="B103" s="1544"/>
      <c r="C103" s="1533"/>
      <c r="D103" s="1545"/>
      <c r="E103" s="1526"/>
      <c r="F103" s="1449"/>
      <c r="G103" s="1413"/>
      <c r="H103" s="461"/>
      <c r="I103" s="316"/>
      <c r="J103" s="219"/>
      <c r="K103" s="219"/>
      <c r="L103" s="243"/>
      <c r="M103" s="106"/>
      <c r="N103" s="106"/>
      <c r="O103" s="1541"/>
      <c r="P103" s="128"/>
      <c r="Q103" s="129"/>
      <c r="R103" s="132"/>
      <c r="U103" s="13"/>
    </row>
    <row r="104" spans="1:21" x14ac:dyDescent="0.2">
      <c r="A104" s="1444"/>
      <c r="B104" s="1544"/>
      <c r="C104" s="1533"/>
      <c r="D104" s="1545"/>
      <c r="E104" s="1526"/>
      <c r="F104" s="1449"/>
      <c r="G104" s="1413"/>
      <c r="H104" s="461"/>
      <c r="I104" s="316"/>
      <c r="J104" s="219"/>
      <c r="K104" s="219"/>
      <c r="L104" s="243"/>
      <c r="M104" s="106"/>
      <c r="N104" s="106"/>
      <c r="O104" s="1542"/>
      <c r="P104" s="128"/>
      <c r="Q104" s="129"/>
      <c r="R104" s="132"/>
      <c r="U104" s="13"/>
    </row>
    <row r="105" spans="1:21" ht="24.75" customHeight="1" x14ac:dyDescent="0.2">
      <c r="A105" s="1444"/>
      <c r="B105" s="1544"/>
      <c r="C105" s="1533"/>
      <c r="D105" s="1546"/>
      <c r="E105" s="1547"/>
      <c r="F105" s="1460"/>
      <c r="G105" s="1462"/>
      <c r="H105" s="462"/>
      <c r="I105" s="464"/>
      <c r="J105" s="335"/>
      <c r="K105" s="335"/>
      <c r="L105" s="465"/>
      <c r="M105" s="349"/>
      <c r="N105" s="349"/>
      <c r="O105" s="1543"/>
      <c r="P105" s="59"/>
      <c r="Q105" s="59"/>
      <c r="R105" s="143"/>
      <c r="U105" s="13"/>
    </row>
    <row r="106" spans="1:21" ht="12.75" customHeight="1" x14ac:dyDescent="0.2">
      <c r="A106" s="1444"/>
      <c r="B106" s="1445"/>
      <c r="C106" s="1533"/>
      <c r="D106" s="1476" t="s">
        <v>192</v>
      </c>
      <c r="E106" s="1526" t="s">
        <v>91</v>
      </c>
      <c r="F106" s="1412" t="s">
        <v>44</v>
      </c>
      <c r="G106" s="1413" t="s">
        <v>90</v>
      </c>
      <c r="H106" s="358"/>
      <c r="I106" s="359"/>
      <c r="J106" s="224"/>
      <c r="K106" s="224"/>
      <c r="L106" s="244"/>
      <c r="M106" s="357"/>
      <c r="N106" s="357"/>
      <c r="O106" s="1563" t="s">
        <v>155</v>
      </c>
      <c r="P106" s="212"/>
      <c r="Q106" s="212">
        <v>1</v>
      </c>
      <c r="R106" s="211"/>
    </row>
    <row r="107" spans="1:21" x14ac:dyDescent="0.2">
      <c r="A107" s="1444"/>
      <c r="B107" s="1445"/>
      <c r="C107" s="1533"/>
      <c r="D107" s="1476"/>
      <c r="E107" s="1526"/>
      <c r="F107" s="1412"/>
      <c r="G107" s="1413"/>
      <c r="H107" s="135"/>
      <c r="I107" s="316"/>
      <c r="J107" s="219"/>
      <c r="K107" s="219"/>
      <c r="L107" s="243"/>
      <c r="M107" s="106"/>
      <c r="N107" s="106"/>
      <c r="O107" s="1481"/>
      <c r="P107" s="212"/>
      <c r="Q107" s="212"/>
      <c r="R107" s="211"/>
    </row>
    <row r="108" spans="1:21" x14ac:dyDescent="0.2">
      <c r="A108" s="1444"/>
      <c r="B108" s="1445"/>
      <c r="C108" s="1533"/>
      <c r="D108" s="1476"/>
      <c r="E108" s="1526"/>
      <c r="F108" s="1412"/>
      <c r="G108" s="1413"/>
      <c r="H108" s="135"/>
      <c r="I108" s="231"/>
      <c r="J108" s="219"/>
      <c r="K108" s="219"/>
      <c r="L108" s="243"/>
      <c r="M108" s="175"/>
      <c r="N108" s="175"/>
      <c r="O108" s="1468"/>
      <c r="P108" s="212"/>
      <c r="Q108" s="212"/>
      <c r="R108" s="211"/>
    </row>
    <row r="109" spans="1:21" ht="15" customHeight="1" thickBot="1" x14ac:dyDescent="0.25">
      <c r="A109" s="1444"/>
      <c r="B109" s="1445"/>
      <c r="C109" s="1533"/>
      <c r="D109" s="1476"/>
      <c r="E109" s="1526"/>
      <c r="F109" s="1412"/>
      <c r="G109" s="1413"/>
      <c r="H109" s="272" t="s">
        <v>10</v>
      </c>
      <c r="I109" s="273">
        <f>I97+I95</f>
        <v>177.6</v>
      </c>
      <c r="J109" s="227">
        <f>J97+J95</f>
        <v>127.6</v>
      </c>
      <c r="K109" s="227">
        <f>K97+K95</f>
        <v>0</v>
      </c>
      <c r="L109" s="274">
        <f>L97+L95</f>
        <v>50</v>
      </c>
      <c r="M109" s="226">
        <f>M95+M96+M97</f>
        <v>3180</v>
      </c>
      <c r="N109" s="273">
        <f>N95+N96+N97</f>
        <v>3242.7</v>
      </c>
      <c r="O109" s="1468"/>
      <c r="P109" s="494"/>
      <c r="Q109" s="494"/>
      <c r="R109" s="496"/>
    </row>
    <row r="110" spans="1:21" ht="30.75" customHeight="1" thickBot="1" x14ac:dyDescent="0.25">
      <c r="A110" s="93" t="s">
        <v>9</v>
      </c>
      <c r="B110" s="11" t="s">
        <v>9</v>
      </c>
      <c r="C110" s="1548" t="s">
        <v>12</v>
      </c>
      <c r="D110" s="1548"/>
      <c r="E110" s="1548"/>
      <c r="F110" s="1548"/>
      <c r="G110" s="1548"/>
      <c r="H110" s="1548"/>
      <c r="I110" s="537" t="s">
        <v>215</v>
      </c>
      <c r="J110" s="554" t="s">
        <v>216</v>
      </c>
      <c r="K110" s="466">
        <f>K109+K94+K90+K87+K81+K77+K61+K44+K32</f>
        <v>742.7</v>
      </c>
      <c r="L110" s="467">
        <f>L109+L94+L90+L87+L81+L77+L61+L44+L32</f>
        <v>1374.7</v>
      </c>
      <c r="M110" s="24">
        <f>M109+M94+M90+M87+M81+M77+M61+M44+M32</f>
        <v>22958.3</v>
      </c>
      <c r="N110" s="176">
        <f>N109+N94+N90+N87+N81+N77+N61+N44+N32</f>
        <v>21634.5</v>
      </c>
      <c r="O110" s="469"/>
      <c r="P110" s="470"/>
      <c r="Q110" s="470"/>
      <c r="R110" s="471"/>
    </row>
    <row r="111" spans="1:21" ht="16.5" customHeight="1" thickBot="1" x14ac:dyDescent="0.25">
      <c r="A111" s="93" t="s">
        <v>9</v>
      </c>
      <c r="B111" s="11" t="s">
        <v>11</v>
      </c>
      <c r="C111" s="1549" t="s">
        <v>71</v>
      </c>
      <c r="D111" s="1550"/>
      <c r="E111" s="1550"/>
      <c r="F111" s="1550"/>
      <c r="G111" s="1550"/>
      <c r="H111" s="1550"/>
      <c r="I111" s="1550"/>
      <c r="J111" s="1550"/>
      <c r="K111" s="1550"/>
      <c r="L111" s="1550"/>
      <c r="M111" s="1550"/>
      <c r="N111" s="1550"/>
      <c r="O111" s="1550"/>
      <c r="P111" s="1550"/>
      <c r="Q111" s="1550"/>
      <c r="R111" s="1551"/>
    </row>
    <row r="112" spans="1:21" ht="16.5" customHeight="1" x14ac:dyDescent="0.2">
      <c r="A112" s="1489" t="s">
        <v>9</v>
      </c>
      <c r="B112" s="1552" t="s">
        <v>11</v>
      </c>
      <c r="C112" s="1555" t="s">
        <v>9</v>
      </c>
      <c r="D112" s="1558" t="s">
        <v>108</v>
      </c>
      <c r="E112" s="1560"/>
      <c r="F112" s="1538" t="s">
        <v>54</v>
      </c>
      <c r="G112" s="1483" t="s">
        <v>40</v>
      </c>
      <c r="H112" s="19" t="s">
        <v>36</v>
      </c>
      <c r="I112" s="239">
        <f>J112+L112</f>
        <v>513.5</v>
      </c>
      <c r="J112" s="229">
        <v>513.5</v>
      </c>
      <c r="K112" s="229"/>
      <c r="L112" s="230"/>
      <c r="M112" s="41">
        <v>582</v>
      </c>
      <c r="N112" s="41">
        <v>582</v>
      </c>
      <c r="O112" s="1502" t="s">
        <v>74</v>
      </c>
      <c r="P112" s="480">
        <v>18</v>
      </c>
      <c r="Q112" s="480">
        <v>18</v>
      </c>
      <c r="R112" s="482">
        <v>18</v>
      </c>
      <c r="U112" s="13"/>
    </row>
    <row r="113" spans="1:24" ht="15.75" customHeight="1" x14ac:dyDescent="0.2">
      <c r="A113" s="1444"/>
      <c r="B113" s="1553"/>
      <c r="C113" s="1556"/>
      <c r="D113" s="1545"/>
      <c r="E113" s="1561"/>
      <c r="F113" s="1449"/>
      <c r="G113" s="1413"/>
      <c r="H113" s="26"/>
      <c r="I113" s="233">
        <f>J113+L113</f>
        <v>0</v>
      </c>
      <c r="J113" s="219"/>
      <c r="K113" s="219"/>
      <c r="L113" s="220"/>
      <c r="M113" s="69"/>
      <c r="N113" s="69"/>
      <c r="O113" s="1468"/>
      <c r="P113" s="31"/>
      <c r="Q113" s="31"/>
      <c r="R113" s="144"/>
      <c r="U113" s="13"/>
    </row>
    <row r="114" spans="1:24" ht="14.25" customHeight="1" x14ac:dyDescent="0.2">
      <c r="A114" s="1444"/>
      <c r="B114" s="1553"/>
      <c r="C114" s="1556"/>
      <c r="D114" s="1545"/>
      <c r="E114" s="1561"/>
      <c r="F114" s="1449"/>
      <c r="G114" s="1413"/>
      <c r="H114" s="20"/>
      <c r="I114" s="215">
        <f>J114+L114</f>
        <v>0</v>
      </c>
      <c r="J114" s="224"/>
      <c r="K114" s="224"/>
      <c r="L114" s="225"/>
      <c r="M114" s="23"/>
      <c r="N114" s="23"/>
      <c r="O114" s="1468"/>
      <c r="P114" s="31"/>
      <c r="Q114" s="31"/>
      <c r="R114" s="144"/>
      <c r="U114" s="13"/>
    </row>
    <row r="115" spans="1:24" ht="21.75" customHeight="1" thickBot="1" x14ac:dyDescent="0.25">
      <c r="A115" s="1484"/>
      <c r="B115" s="1554"/>
      <c r="C115" s="1557"/>
      <c r="D115" s="1559"/>
      <c r="E115" s="1562"/>
      <c r="F115" s="1539"/>
      <c r="G115" s="1497"/>
      <c r="H115" s="280" t="s">
        <v>10</v>
      </c>
      <c r="I115" s="242">
        <f t="shared" ref="I115:N115" si="4">SUM(I112:I114)</f>
        <v>513.5</v>
      </c>
      <c r="J115" s="237">
        <f t="shared" si="4"/>
        <v>513.5</v>
      </c>
      <c r="K115" s="237">
        <f t="shared" si="4"/>
        <v>0</v>
      </c>
      <c r="L115" s="237">
        <f t="shared" si="4"/>
        <v>0</v>
      </c>
      <c r="M115" s="278">
        <f t="shared" si="4"/>
        <v>582</v>
      </c>
      <c r="N115" s="278">
        <f t="shared" si="4"/>
        <v>582</v>
      </c>
      <c r="O115" s="18"/>
      <c r="P115" s="481"/>
      <c r="Q115" s="481"/>
      <c r="R115" s="483"/>
      <c r="U115" s="13"/>
    </row>
    <row r="116" spans="1:24" ht="12.75" customHeight="1" x14ac:dyDescent="0.2">
      <c r="A116" s="1489" t="s">
        <v>9</v>
      </c>
      <c r="B116" s="1552" t="s">
        <v>11</v>
      </c>
      <c r="C116" s="1555" t="s">
        <v>11</v>
      </c>
      <c r="D116" s="1558" t="s">
        <v>75</v>
      </c>
      <c r="E116" s="1560"/>
      <c r="F116" s="1538" t="s">
        <v>54</v>
      </c>
      <c r="G116" s="1483" t="s">
        <v>40</v>
      </c>
      <c r="H116" s="19" t="s">
        <v>36</v>
      </c>
      <c r="I116" s="239">
        <f>J116+L116</f>
        <v>5</v>
      </c>
      <c r="J116" s="229">
        <v>5</v>
      </c>
      <c r="K116" s="229"/>
      <c r="L116" s="230"/>
      <c r="M116" s="41">
        <v>5</v>
      </c>
      <c r="N116" s="41">
        <v>5</v>
      </c>
      <c r="O116" s="1502" t="s">
        <v>105</v>
      </c>
      <c r="P116" s="480">
        <v>3</v>
      </c>
      <c r="Q116" s="480">
        <v>3</v>
      </c>
      <c r="R116" s="482">
        <v>3</v>
      </c>
      <c r="U116" s="13"/>
    </row>
    <row r="117" spans="1:24" ht="12.75" customHeight="1" x14ac:dyDescent="0.2">
      <c r="A117" s="1444"/>
      <c r="B117" s="1553"/>
      <c r="C117" s="1556"/>
      <c r="D117" s="1545"/>
      <c r="E117" s="1561"/>
      <c r="F117" s="1449"/>
      <c r="G117" s="1413"/>
      <c r="H117" s="20"/>
      <c r="I117" s="246"/>
      <c r="J117" s="219"/>
      <c r="K117" s="219"/>
      <c r="L117" s="220"/>
      <c r="M117" s="45"/>
      <c r="N117" s="45"/>
      <c r="O117" s="1468"/>
      <c r="P117" s="31"/>
      <c r="Q117" s="31"/>
      <c r="R117" s="144"/>
      <c r="U117" s="13"/>
    </row>
    <row r="118" spans="1:24" ht="13.5" thickBot="1" x14ac:dyDescent="0.25">
      <c r="A118" s="1484"/>
      <c r="B118" s="1554"/>
      <c r="C118" s="1557"/>
      <c r="D118" s="1559"/>
      <c r="E118" s="1562"/>
      <c r="F118" s="1539"/>
      <c r="G118" s="1497"/>
      <c r="H118" s="280" t="s">
        <v>10</v>
      </c>
      <c r="I118" s="242">
        <f t="shared" ref="I118:N118" si="5">SUM(I116:I116)</f>
        <v>5</v>
      </c>
      <c r="J118" s="237">
        <f t="shared" si="5"/>
        <v>5</v>
      </c>
      <c r="K118" s="237">
        <f t="shared" si="5"/>
        <v>0</v>
      </c>
      <c r="L118" s="237">
        <f t="shared" si="5"/>
        <v>0</v>
      </c>
      <c r="M118" s="278">
        <f t="shared" si="5"/>
        <v>5</v>
      </c>
      <c r="N118" s="278">
        <f t="shared" si="5"/>
        <v>5</v>
      </c>
      <c r="O118" s="1564"/>
      <c r="P118" s="481"/>
      <c r="Q118" s="481"/>
      <c r="R118" s="483"/>
      <c r="U118" s="13"/>
    </row>
    <row r="119" spans="1:24" ht="12.75" customHeight="1" x14ac:dyDescent="0.2">
      <c r="A119" s="1489" t="s">
        <v>9</v>
      </c>
      <c r="B119" s="1552" t="s">
        <v>11</v>
      </c>
      <c r="C119" s="1555" t="s">
        <v>38</v>
      </c>
      <c r="D119" s="1558" t="s">
        <v>104</v>
      </c>
      <c r="E119" s="1560"/>
      <c r="F119" s="1538" t="s">
        <v>54</v>
      </c>
      <c r="G119" s="1483" t="s">
        <v>40</v>
      </c>
      <c r="H119" s="417" t="s">
        <v>36</v>
      </c>
      <c r="I119" s="418">
        <f>J119+L119</f>
        <v>90</v>
      </c>
      <c r="J119" s="419">
        <v>90</v>
      </c>
      <c r="K119" s="419"/>
      <c r="L119" s="269"/>
      <c r="M119" s="338">
        <v>46</v>
      </c>
      <c r="N119" s="338">
        <v>46</v>
      </c>
      <c r="O119" s="1502" t="s">
        <v>76</v>
      </c>
      <c r="P119" s="480">
        <v>350</v>
      </c>
      <c r="Q119" s="480">
        <v>350</v>
      </c>
      <c r="R119" s="482">
        <v>350</v>
      </c>
      <c r="U119" s="13"/>
    </row>
    <row r="120" spans="1:24" ht="15.75" customHeight="1" x14ac:dyDescent="0.2">
      <c r="A120" s="1444"/>
      <c r="B120" s="1553"/>
      <c r="C120" s="1556"/>
      <c r="D120" s="1545"/>
      <c r="E120" s="1561"/>
      <c r="F120" s="1449"/>
      <c r="G120" s="1413"/>
      <c r="H120" s="20"/>
      <c r="I120" s="318"/>
      <c r="J120" s="259"/>
      <c r="K120" s="259"/>
      <c r="L120" s="220"/>
      <c r="M120" s="69"/>
      <c r="N120" s="69"/>
      <c r="O120" s="1468"/>
      <c r="P120" s="31"/>
      <c r="Q120" s="31"/>
      <c r="R120" s="144"/>
      <c r="U120" s="13"/>
    </row>
    <row r="121" spans="1:24" x14ac:dyDescent="0.2">
      <c r="A121" s="1444"/>
      <c r="B121" s="1553"/>
      <c r="C121" s="1556"/>
      <c r="D121" s="1545"/>
      <c r="E121" s="1561"/>
      <c r="F121" s="1449"/>
      <c r="G121" s="1413"/>
      <c r="H121" s="20"/>
      <c r="I121" s="318"/>
      <c r="J121" s="259"/>
      <c r="K121" s="259"/>
      <c r="L121" s="220"/>
      <c r="M121" s="69"/>
      <c r="N121" s="69"/>
      <c r="O121" s="1468" t="s">
        <v>77</v>
      </c>
      <c r="P121" s="31">
        <v>30</v>
      </c>
      <c r="Q121" s="31">
        <v>30</v>
      </c>
      <c r="R121" s="144">
        <v>30</v>
      </c>
      <c r="U121" s="13"/>
    </row>
    <row r="122" spans="1:24" ht="35.25" customHeight="1" x14ac:dyDescent="0.2">
      <c r="A122" s="1444"/>
      <c r="B122" s="1553"/>
      <c r="C122" s="1556"/>
      <c r="D122" s="1545"/>
      <c r="E122" s="1561"/>
      <c r="F122" s="1449"/>
      <c r="G122" s="1413"/>
      <c r="H122" s="20"/>
      <c r="I122" s="260"/>
      <c r="J122" s="259"/>
      <c r="K122" s="259"/>
      <c r="L122" s="220"/>
      <c r="M122" s="35"/>
      <c r="N122" s="35"/>
      <c r="O122" s="1468"/>
      <c r="P122" s="31"/>
      <c r="Q122" s="31"/>
      <c r="R122" s="144"/>
      <c r="U122" s="13"/>
    </row>
    <row r="123" spans="1:24" ht="17.25" customHeight="1" thickBot="1" x14ac:dyDescent="0.25">
      <c r="A123" s="1484"/>
      <c r="B123" s="1554"/>
      <c r="C123" s="1557"/>
      <c r="D123" s="1559"/>
      <c r="E123" s="1562"/>
      <c r="F123" s="1539"/>
      <c r="G123" s="1497"/>
      <c r="H123" s="280" t="s">
        <v>10</v>
      </c>
      <c r="I123" s="261">
        <f t="shared" ref="I123:N123" si="6">SUM(I119:I122)</f>
        <v>90</v>
      </c>
      <c r="J123" s="262">
        <f t="shared" si="6"/>
        <v>90</v>
      </c>
      <c r="K123" s="262">
        <f t="shared" si="6"/>
        <v>0</v>
      </c>
      <c r="L123" s="237">
        <f t="shared" si="6"/>
        <v>0</v>
      </c>
      <c r="M123" s="278">
        <f t="shared" si="6"/>
        <v>46</v>
      </c>
      <c r="N123" s="278">
        <f t="shared" si="6"/>
        <v>46</v>
      </c>
      <c r="O123" s="18" t="s">
        <v>139</v>
      </c>
      <c r="P123" s="481">
        <v>30</v>
      </c>
      <c r="Q123" s="481">
        <v>30</v>
      </c>
      <c r="R123" s="483">
        <v>30</v>
      </c>
      <c r="U123" s="13"/>
    </row>
    <row r="124" spans="1:24" ht="12.75" customHeight="1" x14ac:dyDescent="0.2">
      <c r="A124" s="1489" t="s">
        <v>9</v>
      </c>
      <c r="B124" s="1552" t="s">
        <v>11</v>
      </c>
      <c r="C124" s="1555" t="s">
        <v>53</v>
      </c>
      <c r="D124" s="1558" t="s">
        <v>80</v>
      </c>
      <c r="E124" s="1560"/>
      <c r="F124" s="1538" t="s">
        <v>54</v>
      </c>
      <c r="G124" s="1483" t="s">
        <v>40</v>
      </c>
      <c r="H124" s="19" t="s">
        <v>36</v>
      </c>
      <c r="I124" s="257">
        <f>J124+L124</f>
        <v>6</v>
      </c>
      <c r="J124" s="258">
        <v>6</v>
      </c>
      <c r="K124" s="258"/>
      <c r="L124" s="230"/>
      <c r="M124" s="41">
        <v>6</v>
      </c>
      <c r="N124" s="41">
        <v>6</v>
      </c>
      <c r="O124" s="1502" t="s">
        <v>81</v>
      </c>
      <c r="P124" s="480">
        <v>20</v>
      </c>
      <c r="Q124" s="480">
        <v>20</v>
      </c>
      <c r="R124" s="482">
        <v>20</v>
      </c>
      <c r="U124" s="13"/>
    </row>
    <row r="125" spans="1:24" x14ac:dyDescent="0.2">
      <c r="A125" s="1444"/>
      <c r="B125" s="1553"/>
      <c r="C125" s="1556"/>
      <c r="D125" s="1545"/>
      <c r="E125" s="1561"/>
      <c r="F125" s="1449"/>
      <c r="G125" s="1413"/>
      <c r="H125" s="26"/>
      <c r="I125" s="235">
        <f>J125+L125</f>
        <v>0</v>
      </c>
      <c r="J125" s="259"/>
      <c r="K125" s="259"/>
      <c r="L125" s="220"/>
      <c r="M125" s="69"/>
      <c r="N125" s="69"/>
      <c r="O125" s="1468"/>
      <c r="P125" s="31"/>
      <c r="Q125" s="31"/>
      <c r="R125" s="144"/>
      <c r="U125" s="13"/>
    </row>
    <row r="126" spans="1:24" ht="13.5" thickBot="1" x14ac:dyDescent="0.25">
      <c r="A126" s="1484"/>
      <c r="B126" s="1554"/>
      <c r="C126" s="1557"/>
      <c r="D126" s="1559"/>
      <c r="E126" s="1562"/>
      <c r="F126" s="1539"/>
      <c r="G126" s="1497"/>
      <c r="H126" s="280" t="s">
        <v>10</v>
      </c>
      <c r="I126" s="261">
        <f t="shared" ref="I126:N126" si="7">SUM(I124:I125)</f>
        <v>6</v>
      </c>
      <c r="J126" s="262">
        <f t="shared" si="7"/>
        <v>6</v>
      </c>
      <c r="K126" s="262">
        <f t="shared" si="7"/>
        <v>0</v>
      </c>
      <c r="L126" s="237">
        <f t="shared" si="7"/>
        <v>0</v>
      </c>
      <c r="M126" s="278">
        <f t="shared" si="7"/>
        <v>6</v>
      </c>
      <c r="N126" s="278">
        <f t="shared" si="7"/>
        <v>6</v>
      </c>
      <c r="O126" s="18"/>
      <c r="P126" s="481"/>
      <c r="Q126" s="481"/>
      <c r="R126" s="483"/>
      <c r="U126" s="13"/>
    </row>
    <row r="127" spans="1:24" ht="41.25" customHeight="1" x14ac:dyDescent="0.2">
      <c r="A127" s="1489" t="s">
        <v>9</v>
      </c>
      <c r="B127" s="1552" t="s">
        <v>11</v>
      </c>
      <c r="C127" s="1555" t="s">
        <v>54</v>
      </c>
      <c r="D127" s="1568" t="s">
        <v>89</v>
      </c>
      <c r="E127" s="1525" t="s">
        <v>91</v>
      </c>
      <c r="F127" s="1538" t="s">
        <v>41</v>
      </c>
      <c r="G127" s="1483" t="s">
        <v>90</v>
      </c>
      <c r="H127" s="281" t="s">
        <v>36</v>
      </c>
      <c r="I127" s="257">
        <f>J127+L127</f>
        <v>75.2</v>
      </c>
      <c r="J127" s="258"/>
      <c r="K127" s="258"/>
      <c r="L127" s="230">
        <v>75.2</v>
      </c>
      <c r="M127" s="46"/>
      <c r="N127" s="46"/>
      <c r="O127" s="1502" t="s">
        <v>138</v>
      </c>
      <c r="P127" s="1566"/>
      <c r="Q127" s="480"/>
      <c r="R127" s="482"/>
      <c r="U127" s="13"/>
      <c r="V127" s="14"/>
      <c r="W127" s="14"/>
      <c r="X127" s="14"/>
    </row>
    <row r="128" spans="1:24" ht="27.75" customHeight="1" x14ac:dyDescent="0.2">
      <c r="A128" s="1444"/>
      <c r="B128" s="1553"/>
      <c r="C128" s="1556"/>
      <c r="D128" s="1569"/>
      <c r="E128" s="1526"/>
      <c r="F128" s="1449"/>
      <c r="G128" s="1413"/>
      <c r="H128" s="282" t="s">
        <v>130</v>
      </c>
      <c r="I128" s="235">
        <f>J128+L128</f>
        <v>400</v>
      </c>
      <c r="J128" s="259"/>
      <c r="K128" s="259"/>
      <c r="L128" s="220">
        <v>400</v>
      </c>
      <c r="M128" s="69"/>
      <c r="N128" s="69"/>
      <c r="O128" s="1468"/>
      <c r="P128" s="1567"/>
      <c r="Q128" s="31"/>
      <c r="R128" s="144"/>
      <c r="U128" s="13"/>
      <c r="V128" s="14"/>
      <c r="W128" s="14"/>
      <c r="X128" s="14"/>
    </row>
    <row r="129" spans="1:32" ht="39.75" customHeight="1" thickBot="1" x14ac:dyDescent="0.25">
      <c r="A129" s="1484"/>
      <c r="B129" s="1554"/>
      <c r="C129" s="1557"/>
      <c r="D129" s="1570"/>
      <c r="E129" s="1565"/>
      <c r="F129" s="1539"/>
      <c r="G129" s="1497"/>
      <c r="H129" s="280" t="s">
        <v>10</v>
      </c>
      <c r="I129" s="261">
        <f t="shared" ref="I129:N129" si="8">SUM(I127:I128)</f>
        <v>475.2</v>
      </c>
      <c r="J129" s="262">
        <f t="shared" si="8"/>
        <v>0</v>
      </c>
      <c r="K129" s="262">
        <f t="shared" si="8"/>
        <v>0</v>
      </c>
      <c r="L129" s="237">
        <f t="shared" si="8"/>
        <v>475.2</v>
      </c>
      <c r="M129" s="278">
        <f t="shared" si="8"/>
        <v>0</v>
      </c>
      <c r="N129" s="278">
        <f t="shared" si="8"/>
        <v>0</v>
      </c>
      <c r="O129" s="1498"/>
      <c r="P129" s="420">
        <v>100</v>
      </c>
      <c r="Q129" s="481"/>
      <c r="R129" s="483"/>
      <c r="U129" s="13"/>
      <c r="V129" s="14"/>
      <c r="W129" s="14"/>
      <c r="X129" s="14"/>
    </row>
    <row r="130" spans="1:32" x14ac:dyDescent="0.2">
      <c r="A130" s="1489" t="s">
        <v>9</v>
      </c>
      <c r="B130" s="1552" t="s">
        <v>11</v>
      </c>
      <c r="C130" s="1555" t="s">
        <v>41</v>
      </c>
      <c r="D130" s="1571" t="s">
        <v>96</v>
      </c>
      <c r="E130" s="1560"/>
      <c r="F130" s="1538" t="s">
        <v>54</v>
      </c>
      <c r="G130" s="1483" t="s">
        <v>40</v>
      </c>
      <c r="H130" s="281" t="s">
        <v>36</v>
      </c>
      <c r="I130" s="239">
        <f>J130+L130</f>
        <v>100.3</v>
      </c>
      <c r="J130" s="229">
        <v>100.3</v>
      </c>
      <c r="K130" s="229"/>
      <c r="L130" s="230"/>
      <c r="M130" s="41">
        <v>100</v>
      </c>
      <c r="N130" s="41"/>
      <c r="O130" s="475" t="s">
        <v>78</v>
      </c>
      <c r="P130" s="480"/>
      <c r="Q130" s="480">
        <v>1</v>
      </c>
      <c r="R130" s="482"/>
      <c r="U130" s="13"/>
      <c r="V130" s="14"/>
      <c r="W130" s="14"/>
      <c r="X130" s="14"/>
    </row>
    <row r="131" spans="1:32" x14ac:dyDescent="0.2">
      <c r="A131" s="1444"/>
      <c r="B131" s="1553"/>
      <c r="C131" s="1556"/>
      <c r="D131" s="1572"/>
      <c r="E131" s="1561"/>
      <c r="F131" s="1449"/>
      <c r="G131" s="1413"/>
      <c r="H131" s="282"/>
      <c r="I131" s="233">
        <f>J131+L131</f>
        <v>0</v>
      </c>
      <c r="J131" s="219"/>
      <c r="K131" s="219"/>
      <c r="L131" s="220"/>
      <c r="M131" s="69"/>
      <c r="N131" s="69"/>
      <c r="O131" s="17"/>
      <c r="P131" s="31"/>
      <c r="Q131" s="31"/>
      <c r="R131" s="144"/>
      <c r="U131" s="13"/>
      <c r="V131" s="14"/>
      <c r="W131" s="14"/>
      <c r="X131" s="14"/>
    </row>
    <row r="132" spans="1:32" ht="13.5" thickBot="1" x14ac:dyDescent="0.25">
      <c r="A132" s="1484"/>
      <c r="B132" s="1554"/>
      <c r="C132" s="1557"/>
      <c r="D132" s="1573"/>
      <c r="E132" s="1562"/>
      <c r="F132" s="1539"/>
      <c r="G132" s="1497"/>
      <c r="H132" s="280" t="s">
        <v>10</v>
      </c>
      <c r="I132" s="242">
        <f t="shared" ref="I132:N132" si="9">SUM(I130:I131)</f>
        <v>100.3</v>
      </c>
      <c r="J132" s="237">
        <f t="shared" si="9"/>
        <v>100.3</v>
      </c>
      <c r="K132" s="237">
        <f t="shared" si="9"/>
        <v>0</v>
      </c>
      <c r="L132" s="237">
        <f t="shared" si="9"/>
        <v>0</v>
      </c>
      <c r="M132" s="278">
        <f t="shared" si="9"/>
        <v>100</v>
      </c>
      <c r="N132" s="278">
        <f t="shared" si="9"/>
        <v>0</v>
      </c>
      <c r="O132" s="18"/>
      <c r="P132" s="481"/>
      <c r="Q132" s="481"/>
      <c r="R132" s="483"/>
      <c r="U132" s="13"/>
      <c r="V132" s="14"/>
      <c r="W132" s="14"/>
      <c r="X132" s="14"/>
    </row>
    <row r="133" spans="1:32" x14ac:dyDescent="0.2">
      <c r="A133" s="1489" t="s">
        <v>9</v>
      </c>
      <c r="B133" s="1552" t="s">
        <v>11</v>
      </c>
      <c r="C133" s="1555" t="s">
        <v>55</v>
      </c>
      <c r="D133" s="1571" t="s">
        <v>107</v>
      </c>
      <c r="E133" s="1560"/>
      <c r="F133" s="1538" t="s">
        <v>54</v>
      </c>
      <c r="G133" s="1483" t="s">
        <v>40</v>
      </c>
      <c r="H133" s="19" t="s">
        <v>36</v>
      </c>
      <c r="I133" s="239">
        <f>J133+L133</f>
        <v>20</v>
      </c>
      <c r="J133" s="229">
        <v>20</v>
      </c>
      <c r="K133" s="229"/>
      <c r="L133" s="230"/>
      <c r="M133" s="41"/>
      <c r="N133" s="41"/>
      <c r="O133" s="475" t="s">
        <v>79</v>
      </c>
      <c r="P133" s="480">
        <v>150</v>
      </c>
      <c r="Q133" s="480"/>
      <c r="R133" s="482"/>
      <c r="U133" s="13"/>
    </row>
    <row r="134" spans="1:32" x14ac:dyDescent="0.2">
      <c r="A134" s="1444"/>
      <c r="B134" s="1553"/>
      <c r="C134" s="1556"/>
      <c r="D134" s="1572"/>
      <c r="E134" s="1561"/>
      <c r="F134" s="1449"/>
      <c r="G134" s="1413"/>
      <c r="H134" s="26"/>
      <c r="I134" s="233">
        <f>J134+L134</f>
        <v>0</v>
      </c>
      <c r="J134" s="219"/>
      <c r="K134" s="219"/>
      <c r="L134" s="220"/>
      <c r="M134" s="69"/>
      <c r="N134" s="69"/>
      <c r="O134" s="17"/>
      <c r="P134" s="31"/>
      <c r="Q134" s="31"/>
      <c r="R134" s="144"/>
      <c r="U134" s="13"/>
    </row>
    <row r="135" spans="1:32" ht="13.5" thickBot="1" x14ac:dyDescent="0.25">
      <c r="A135" s="1484"/>
      <c r="B135" s="1554"/>
      <c r="C135" s="1557"/>
      <c r="D135" s="1573"/>
      <c r="E135" s="1562"/>
      <c r="F135" s="1539"/>
      <c r="G135" s="1497"/>
      <c r="H135" s="280" t="s">
        <v>10</v>
      </c>
      <c r="I135" s="242">
        <f t="shared" ref="I135:N135" si="10">SUM(I133:I134)</f>
        <v>20</v>
      </c>
      <c r="J135" s="237">
        <f t="shared" si="10"/>
        <v>20</v>
      </c>
      <c r="K135" s="237">
        <f t="shared" si="10"/>
        <v>0</v>
      </c>
      <c r="L135" s="237">
        <f t="shared" si="10"/>
        <v>0</v>
      </c>
      <c r="M135" s="278">
        <f t="shared" si="10"/>
        <v>0</v>
      </c>
      <c r="N135" s="278">
        <f t="shared" si="10"/>
        <v>0</v>
      </c>
      <c r="O135" s="18"/>
      <c r="P135" s="481"/>
      <c r="Q135" s="481"/>
      <c r="R135" s="483"/>
      <c r="U135" s="13"/>
    </row>
    <row r="136" spans="1:32" ht="13.5" thickBot="1" x14ac:dyDescent="0.25">
      <c r="A136" s="99" t="s">
        <v>9</v>
      </c>
      <c r="B136" s="11" t="s">
        <v>11</v>
      </c>
      <c r="C136" s="1548" t="s">
        <v>12</v>
      </c>
      <c r="D136" s="1548"/>
      <c r="E136" s="1548"/>
      <c r="F136" s="1548"/>
      <c r="G136" s="1548"/>
      <c r="H136" s="1574"/>
      <c r="I136" s="24">
        <f t="shared" ref="I136:N136" si="11">SUM(I129,I126,I135,I132,I123,I118,I115)</f>
        <v>1210</v>
      </c>
      <c r="J136" s="24">
        <f t="shared" si="11"/>
        <v>734.8</v>
      </c>
      <c r="K136" s="24">
        <f t="shared" si="11"/>
        <v>0</v>
      </c>
      <c r="L136" s="24">
        <f t="shared" si="11"/>
        <v>475.2</v>
      </c>
      <c r="M136" s="24">
        <f t="shared" si="11"/>
        <v>739</v>
      </c>
      <c r="N136" s="24">
        <f t="shared" si="11"/>
        <v>639</v>
      </c>
      <c r="O136" s="1575"/>
      <c r="P136" s="1576"/>
      <c r="Q136" s="1576"/>
      <c r="R136" s="1577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5" customHeight="1" thickBot="1" x14ac:dyDescent="0.25">
      <c r="A137" s="93" t="s">
        <v>9</v>
      </c>
      <c r="B137" s="11" t="s">
        <v>38</v>
      </c>
      <c r="C137" s="1549" t="s">
        <v>72</v>
      </c>
      <c r="D137" s="1550"/>
      <c r="E137" s="1550"/>
      <c r="F137" s="1550"/>
      <c r="G137" s="1550"/>
      <c r="H137" s="1550"/>
      <c r="I137" s="1550"/>
      <c r="J137" s="1550"/>
      <c r="K137" s="1550"/>
      <c r="L137" s="1550"/>
      <c r="M137" s="1550"/>
      <c r="N137" s="1550"/>
      <c r="O137" s="1550"/>
      <c r="P137" s="1550"/>
      <c r="Q137" s="1550"/>
      <c r="R137" s="1551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ht="12.75" customHeight="1" x14ac:dyDescent="0.2">
      <c r="A138" s="1489" t="s">
        <v>9</v>
      </c>
      <c r="B138" s="1552" t="s">
        <v>38</v>
      </c>
      <c r="C138" s="1555" t="s">
        <v>9</v>
      </c>
      <c r="D138" s="1558" t="s">
        <v>82</v>
      </c>
      <c r="E138" s="1578"/>
      <c r="F138" s="1538" t="s">
        <v>54</v>
      </c>
      <c r="G138" s="1519" t="s">
        <v>40</v>
      </c>
      <c r="H138" s="281" t="s">
        <v>36</v>
      </c>
      <c r="I138" s="239">
        <f>J138+L138</f>
        <v>1233.5</v>
      </c>
      <c r="J138" s="229">
        <v>1233.5</v>
      </c>
      <c r="K138" s="229"/>
      <c r="L138" s="230"/>
      <c r="M138" s="46">
        <v>2006.3</v>
      </c>
      <c r="N138" s="46">
        <v>2006.3</v>
      </c>
      <c r="O138" s="1502" t="s">
        <v>198</v>
      </c>
      <c r="P138" s="43">
        <v>3.7</v>
      </c>
      <c r="Q138" s="43">
        <v>3.7</v>
      </c>
      <c r="R138" s="44">
        <v>3.7</v>
      </c>
      <c r="U138" s="13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">
      <c r="A139" s="1444"/>
      <c r="B139" s="1553"/>
      <c r="C139" s="1556"/>
      <c r="D139" s="1545"/>
      <c r="E139" s="1448"/>
      <c r="F139" s="1449"/>
      <c r="G139" s="1520"/>
      <c r="H139" s="282"/>
      <c r="I139" s="233">
        <f>J139+L139</f>
        <v>0</v>
      </c>
      <c r="J139" s="219"/>
      <c r="K139" s="219"/>
      <c r="L139" s="220"/>
      <c r="M139" s="69"/>
      <c r="N139" s="69"/>
      <c r="O139" s="1468"/>
      <c r="P139" s="42"/>
      <c r="Q139" s="31"/>
      <c r="R139" s="144"/>
      <c r="U139" s="13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ht="18" customHeight="1" x14ac:dyDescent="0.2">
      <c r="A140" s="1444"/>
      <c r="B140" s="1553"/>
      <c r="C140" s="1556"/>
      <c r="D140" s="1545"/>
      <c r="E140" s="1448"/>
      <c r="F140" s="1449"/>
      <c r="G140" s="1520"/>
      <c r="H140" s="365"/>
      <c r="I140" s="215">
        <f>J140+L140</f>
        <v>0</v>
      </c>
      <c r="J140" s="224"/>
      <c r="K140" s="224"/>
      <c r="L140" s="225"/>
      <c r="M140" s="23"/>
      <c r="N140" s="23"/>
      <c r="O140" s="1468"/>
      <c r="P140" s="31"/>
      <c r="Q140" s="31"/>
      <c r="R140" s="144"/>
      <c r="U140" s="13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22.5" customHeight="1" thickBot="1" x14ac:dyDescent="0.25">
      <c r="A141" s="1484"/>
      <c r="B141" s="1554"/>
      <c r="C141" s="1557"/>
      <c r="D141" s="1559"/>
      <c r="E141" s="1579"/>
      <c r="F141" s="1539"/>
      <c r="G141" s="1521"/>
      <c r="H141" s="280" t="s">
        <v>10</v>
      </c>
      <c r="I141" s="242">
        <f t="shared" ref="I141:N141" si="12">SUM(I138:I140)</f>
        <v>1233.5</v>
      </c>
      <c r="J141" s="237">
        <f t="shared" si="12"/>
        <v>1233.5</v>
      </c>
      <c r="K141" s="237">
        <f t="shared" si="12"/>
        <v>0</v>
      </c>
      <c r="L141" s="237">
        <f t="shared" si="12"/>
        <v>0</v>
      </c>
      <c r="M141" s="278">
        <f t="shared" si="12"/>
        <v>2006.3</v>
      </c>
      <c r="N141" s="278">
        <f t="shared" si="12"/>
        <v>2006.3</v>
      </c>
      <c r="O141" s="1498"/>
      <c r="P141" s="481"/>
      <c r="Q141" s="481"/>
      <c r="R141" s="483"/>
      <c r="U141" s="13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ht="12.75" customHeight="1" x14ac:dyDescent="0.2">
      <c r="A142" s="1489" t="s">
        <v>9</v>
      </c>
      <c r="B142" s="1552" t="s">
        <v>38</v>
      </c>
      <c r="C142" s="1555" t="s">
        <v>11</v>
      </c>
      <c r="D142" s="1558" t="s">
        <v>39</v>
      </c>
      <c r="E142" s="1578"/>
      <c r="F142" s="1538" t="s">
        <v>41</v>
      </c>
      <c r="G142" s="1519" t="s">
        <v>40</v>
      </c>
      <c r="H142" s="281" t="s">
        <v>36</v>
      </c>
      <c r="I142" s="239">
        <f>J142+L142</f>
        <v>0</v>
      </c>
      <c r="J142" s="229"/>
      <c r="K142" s="229"/>
      <c r="L142" s="230"/>
      <c r="M142" s="46"/>
      <c r="N142" s="46"/>
      <c r="O142" s="1502" t="s">
        <v>106</v>
      </c>
      <c r="P142" s="480"/>
      <c r="Q142" s="480" t="s">
        <v>42</v>
      </c>
      <c r="R142" s="482" t="s">
        <v>42</v>
      </c>
      <c r="U142" s="13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">
      <c r="A143" s="1444"/>
      <c r="B143" s="1553"/>
      <c r="C143" s="1556"/>
      <c r="D143" s="1545"/>
      <c r="E143" s="1448"/>
      <c r="F143" s="1449"/>
      <c r="G143" s="1520"/>
      <c r="H143" s="282"/>
      <c r="I143" s="233">
        <f>J143+L143</f>
        <v>0</v>
      </c>
      <c r="J143" s="219">
        <v>0</v>
      </c>
      <c r="K143" s="219"/>
      <c r="L143" s="220"/>
      <c r="M143" s="69"/>
      <c r="N143" s="69"/>
      <c r="O143" s="1468"/>
      <c r="P143" s="31"/>
      <c r="Q143" s="31"/>
      <c r="R143" s="144"/>
      <c r="U143" s="1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3.5" thickBot="1" x14ac:dyDescent="0.25">
      <c r="A144" s="1484"/>
      <c r="B144" s="1554"/>
      <c r="C144" s="1557"/>
      <c r="D144" s="1559"/>
      <c r="E144" s="1579"/>
      <c r="F144" s="1539"/>
      <c r="G144" s="1521"/>
      <c r="H144" s="280" t="s">
        <v>10</v>
      </c>
      <c r="I144" s="242">
        <f t="shared" ref="I144:N144" si="13">SUM(I142:I143)</f>
        <v>0</v>
      </c>
      <c r="J144" s="237">
        <f t="shared" si="13"/>
        <v>0</v>
      </c>
      <c r="K144" s="237">
        <f t="shared" si="13"/>
        <v>0</v>
      </c>
      <c r="L144" s="237">
        <f t="shared" si="13"/>
        <v>0</v>
      </c>
      <c r="M144" s="278">
        <f t="shared" si="13"/>
        <v>0</v>
      </c>
      <c r="N144" s="278">
        <f t="shared" si="13"/>
        <v>0</v>
      </c>
      <c r="O144" s="18"/>
      <c r="P144" s="481"/>
      <c r="Q144" s="481"/>
      <c r="R144" s="483"/>
      <c r="U144" s="13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ht="12.75" customHeight="1" x14ac:dyDescent="0.2">
      <c r="A145" s="1489" t="s">
        <v>9</v>
      </c>
      <c r="B145" s="1552" t="s">
        <v>38</v>
      </c>
      <c r="C145" s="1555" t="s">
        <v>38</v>
      </c>
      <c r="D145" s="1558" t="s">
        <v>43</v>
      </c>
      <c r="E145" s="1578"/>
      <c r="F145" s="1538" t="s">
        <v>44</v>
      </c>
      <c r="G145" s="1519" t="s">
        <v>40</v>
      </c>
      <c r="H145" s="281" t="s">
        <v>36</v>
      </c>
      <c r="I145" s="239">
        <f>J145+L145</f>
        <v>0</v>
      </c>
      <c r="J145" s="229"/>
      <c r="K145" s="229"/>
      <c r="L145" s="230"/>
      <c r="M145" s="46">
        <v>62</v>
      </c>
      <c r="N145" s="46">
        <v>62</v>
      </c>
      <c r="O145" s="1502" t="s">
        <v>45</v>
      </c>
      <c r="P145" s="480"/>
      <c r="Q145" s="480">
        <v>13</v>
      </c>
      <c r="R145" s="482">
        <v>13</v>
      </c>
      <c r="U145" s="13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">
      <c r="A146" s="1444"/>
      <c r="B146" s="1553"/>
      <c r="C146" s="1556"/>
      <c r="D146" s="1545"/>
      <c r="E146" s="1448"/>
      <c r="F146" s="1449"/>
      <c r="G146" s="1520"/>
      <c r="H146" s="282"/>
      <c r="I146" s="233">
        <f>J146+L146</f>
        <v>0</v>
      </c>
      <c r="J146" s="219"/>
      <c r="K146" s="219"/>
      <c r="L146" s="220"/>
      <c r="M146" s="69"/>
      <c r="N146" s="69"/>
      <c r="O146" s="1468"/>
      <c r="P146" s="31"/>
      <c r="Q146" s="31"/>
      <c r="R146" s="144"/>
      <c r="U146" s="13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3.5" thickBot="1" x14ac:dyDescent="0.25">
      <c r="A147" s="1484"/>
      <c r="B147" s="1554"/>
      <c r="C147" s="1557"/>
      <c r="D147" s="1559"/>
      <c r="E147" s="1579"/>
      <c r="F147" s="1539"/>
      <c r="G147" s="1521"/>
      <c r="H147" s="280" t="s">
        <v>10</v>
      </c>
      <c r="I147" s="242">
        <f t="shared" ref="I147:N147" si="14">SUM(I145:I146)</f>
        <v>0</v>
      </c>
      <c r="J147" s="237">
        <f t="shared" si="14"/>
        <v>0</v>
      </c>
      <c r="K147" s="237">
        <f t="shared" si="14"/>
        <v>0</v>
      </c>
      <c r="L147" s="237">
        <f t="shared" si="14"/>
        <v>0</v>
      </c>
      <c r="M147" s="278">
        <f t="shared" si="14"/>
        <v>62</v>
      </c>
      <c r="N147" s="278">
        <f t="shared" si="14"/>
        <v>62</v>
      </c>
      <c r="O147" s="18"/>
      <c r="P147" s="481"/>
      <c r="Q147" s="481"/>
      <c r="R147" s="483"/>
      <c r="U147" s="13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ht="12.75" customHeight="1" x14ac:dyDescent="0.2">
      <c r="A148" s="1489" t="s">
        <v>9</v>
      </c>
      <c r="B148" s="1552" t="s">
        <v>38</v>
      </c>
      <c r="C148" s="1555" t="s">
        <v>53</v>
      </c>
      <c r="D148" s="1499" t="s">
        <v>146</v>
      </c>
      <c r="E148" s="1578"/>
      <c r="F148" s="1587" t="s">
        <v>44</v>
      </c>
      <c r="G148" s="1580" t="s">
        <v>40</v>
      </c>
      <c r="H148" s="366" t="s">
        <v>92</v>
      </c>
      <c r="I148" s="263">
        <f>+J148+L148</f>
        <v>0</v>
      </c>
      <c r="J148" s="264">
        <v>0</v>
      </c>
      <c r="K148" s="264"/>
      <c r="L148" s="265">
        <v>0</v>
      </c>
      <c r="M148" s="111">
        <v>50</v>
      </c>
      <c r="N148" s="110">
        <v>50</v>
      </c>
      <c r="O148" s="1528" t="s">
        <v>150</v>
      </c>
      <c r="P148" s="1583"/>
      <c r="Q148" s="1583"/>
      <c r="R148" s="1585">
        <v>1</v>
      </c>
      <c r="T148" s="13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30" customHeight="1" thickBot="1" x14ac:dyDescent="0.25">
      <c r="A149" s="1484"/>
      <c r="B149" s="1554"/>
      <c r="C149" s="1557"/>
      <c r="D149" s="1487"/>
      <c r="E149" s="1579"/>
      <c r="F149" s="1588"/>
      <c r="G149" s="1581"/>
      <c r="H149" s="280" t="s">
        <v>10</v>
      </c>
      <c r="I149" s="242">
        <f>+L149+J149</f>
        <v>0</v>
      </c>
      <c r="J149" s="242">
        <f>+J148</f>
        <v>0</v>
      </c>
      <c r="K149" s="242"/>
      <c r="L149" s="247">
        <f>+L148</f>
        <v>0</v>
      </c>
      <c r="M149" s="278">
        <f>+M148</f>
        <v>50</v>
      </c>
      <c r="N149" s="242">
        <f>+N148</f>
        <v>50</v>
      </c>
      <c r="O149" s="1582"/>
      <c r="P149" s="1584"/>
      <c r="Q149" s="1584"/>
      <c r="R149" s="1586"/>
      <c r="T149" s="13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3.5" thickBot="1" x14ac:dyDescent="0.25">
      <c r="A150" s="99" t="s">
        <v>9</v>
      </c>
      <c r="B150" s="11" t="s">
        <v>38</v>
      </c>
      <c r="C150" s="1548" t="s">
        <v>12</v>
      </c>
      <c r="D150" s="1548"/>
      <c r="E150" s="1548"/>
      <c r="F150" s="1548"/>
      <c r="G150" s="1548"/>
      <c r="H150" s="1574"/>
      <c r="I150" s="24">
        <f t="shared" ref="I150:N150" si="15">SUM(I147,I144,I141,I149)</f>
        <v>1233.5</v>
      </c>
      <c r="J150" s="24">
        <f t="shared" si="15"/>
        <v>1233.5</v>
      </c>
      <c r="K150" s="24">
        <f t="shared" si="15"/>
        <v>0</v>
      </c>
      <c r="L150" s="24">
        <f t="shared" si="15"/>
        <v>0</v>
      </c>
      <c r="M150" s="24">
        <f t="shared" si="15"/>
        <v>2118.3000000000002</v>
      </c>
      <c r="N150" s="24">
        <f t="shared" si="15"/>
        <v>2118.3000000000002</v>
      </c>
      <c r="O150" s="1575"/>
      <c r="P150" s="1576"/>
      <c r="Q150" s="1576"/>
      <c r="R150" s="157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3.5" thickBot="1" x14ac:dyDescent="0.25">
      <c r="A151" s="93" t="s">
        <v>9</v>
      </c>
      <c r="B151" s="11" t="s">
        <v>53</v>
      </c>
      <c r="C151" s="1589" t="s">
        <v>73</v>
      </c>
      <c r="D151" s="1590"/>
      <c r="E151" s="1590"/>
      <c r="F151" s="1590"/>
      <c r="G151" s="1590"/>
      <c r="H151" s="1590"/>
      <c r="I151" s="1590"/>
      <c r="J151" s="1590"/>
      <c r="K151" s="1590"/>
      <c r="L151" s="1590"/>
      <c r="M151" s="1590"/>
      <c r="N151" s="1590"/>
      <c r="O151" s="1590"/>
      <c r="P151" s="1590"/>
      <c r="Q151" s="1590"/>
      <c r="R151" s="1591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25.5" x14ac:dyDescent="0.2">
      <c r="A152" s="476" t="s">
        <v>9</v>
      </c>
      <c r="B152" s="478" t="s">
        <v>53</v>
      </c>
      <c r="C152" s="490" t="s">
        <v>9</v>
      </c>
      <c r="D152" s="499" t="s">
        <v>166</v>
      </c>
      <c r="E152" s="505"/>
      <c r="F152" s="472"/>
      <c r="G152" s="473"/>
      <c r="H152" s="72"/>
      <c r="I152" s="266"/>
      <c r="J152" s="267"/>
      <c r="K152" s="268"/>
      <c r="L152" s="351"/>
      <c r="M152" s="370"/>
      <c r="N152" s="370"/>
      <c r="O152" s="73"/>
      <c r="P152" s="74"/>
      <c r="Q152" s="74"/>
      <c r="R152" s="482"/>
      <c r="S152" s="71"/>
      <c r="U152" s="13"/>
    </row>
    <row r="153" spans="1:32" ht="12.75" customHeight="1" x14ac:dyDescent="0.2">
      <c r="A153" s="1444"/>
      <c r="B153" s="1553"/>
      <c r="C153" s="1592"/>
      <c r="D153" s="1594" t="s">
        <v>134</v>
      </c>
      <c r="E153" s="1597" t="s">
        <v>91</v>
      </c>
      <c r="F153" s="1600" t="s">
        <v>54</v>
      </c>
      <c r="G153" s="1606" t="s">
        <v>90</v>
      </c>
      <c r="H153" s="511" t="s">
        <v>36</v>
      </c>
      <c r="I153" s="512">
        <v>200</v>
      </c>
      <c r="J153" s="513"/>
      <c r="K153" s="513"/>
      <c r="L153" s="530">
        <v>200</v>
      </c>
      <c r="M153" s="529">
        <v>100</v>
      </c>
      <c r="N153" s="514"/>
      <c r="O153" s="1609" t="s">
        <v>137</v>
      </c>
      <c r="P153" s="515"/>
      <c r="Q153" s="515"/>
      <c r="R153" s="125"/>
      <c r="U153" s="13"/>
    </row>
    <row r="154" spans="1:32" x14ac:dyDescent="0.2">
      <c r="A154" s="1444"/>
      <c r="B154" s="1553"/>
      <c r="C154" s="1592"/>
      <c r="D154" s="1595"/>
      <c r="E154" s="1598"/>
      <c r="F154" s="1601"/>
      <c r="G154" s="1607"/>
      <c r="H154" s="516"/>
      <c r="I154" s="517"/>
      <c r="J154" s="377"/>
      <c r="K154" s="377"/>
      <c r="L154" s="531"/>
      <c r="M154" s="518"/>
      <c r="N154" s="518"/>
      <c r="O154" s="1610"/>
      <c r="P154" s="519"/>
      <c r="Q154" s="520"/>
      <c r="R154" s="144"/>
      <c r="U154" s="13"/>
    </row>
    <row r="155" spans="1:32" ht="15.75" customHeight="1" thickBot="1" x14ac:dyDescent="0.25">
      <c r="A155" s="1484"/>
      <c r="B155" s="1554"/>
      <c r="C155" s="1593"/>
      <c r="D155" s="1596"/>
      <c r="E155" s="1599"/>
      <c r="F155" s="1602"/>
      <c r="G155" s="1608"/>
      <c r="H155" s="521"/>
      <c r="I155" s="522"/>
      <c r="J155" s="523"/>
      <c r="K155" s="523"/>
      <c r="L155" s="532"/>
      <c r="M155" s="524"/>
      <c r="N155" s="524"/>
      <c r="O155" s="1611"/>
      <c r="P155" s="525">
        <v>50</v>
      </c>
      <c r="Q155" s="526">
        <v>50</v>
      </c>
      <c r="R155" s="483"/>
      <c r="U155" s="13"/>
    </row>
    <row r="156" spans="1:32" ht="12.75" customHeight="1" x14ac:dyDescent="0.2">
      <c r="A156" s="1612"/>
      <c r="B156" s="1614"/>
      <c r="C156" s="1616"/>
      <c r="D156" s="1499" t="s">
        <v>83</v>
      </c>
      <c r="E156" s="1578"/>
      <c r="F156" s="1538" t="s">
        <v>54</v>
      </c>
      <c r="G156" s="1604" t="s">
        <v>40</v>
      </c>
      <c r="H156" s="421" t="s">
        <v>36</v>
      </c>
      <c r="I156" s="266">
        <f>J156+L156</f>
        <v>265.7</v>
      </c>
      <c r="J156" s="268">
        <v>265.7</v>
      </c>
      <c r="K156" s="268"/>
      <c r="L156" s="351"/>
      <c r="M156" s="370">
        <v>266</v>
      </c>
      <c r="N156" s="370">
        <v>266</v>
      </c>
      <c r="O156" s="1502" t="s">
        <v>84</v>
      </c>
      <c r="P156" s="401">
        <v>285</v>
      </c>
      <c r="Q156" s="401">
        <v>285</v>
      </c>
      <c r="R156" s="403">
        <v>285</v>
      </c>
      <c r="W156" s="510"/>
    </row>
    <row r="157" spans="1:32" x14ac:dyDescent="0.2">
      <c r="A157" s="1613"/>
      <c r="B157" s="1615"/>
      <c r="C157" s="1592"/>
      <c r="D157" s="1476"/>
      <c r="E157" s="1448"/>
      <c r="F157" s="1449"/>
      <c r="G157" s="1605"/>
      <c r="H157" s="372"/>
      <c r="I157" s="316"/>
      <c r="J157" s="219"/>
      <c r="K157" s="219"/>
      <c r="L157" s="243"/>
      <c r="M157" s="103"/>
      <c r="N157" s="103"/>
      <c r="O157" s="1468"/>
      <c r="P157" s="31"/>
      <c r="Q157" s="31"/>
      <c r="R157" s="144"/>
    </row>
    <row r="158" spans="1:32" ht="27" customHeight="1" thickBot="1" x14ac:dyDescent="0.25">
      <c r="A158" s="390"/>
      <c r="B158" s="396"/>
      <c r="C158" s="398"/>
      <c r="D158" s="399"/>
      <c r="E158" s="388"/>
      <c r="F158" s="384"/>
      <c r="G158" s="385"/>
      <c r="H158" s="283" t="s">
        <v>10</v>
      </c>
      <c r="I158" s="536" t="s">
        <v>208</v>
      </c>
      <c r="J158" s="528">
        <v>265.7</v>
      </c>
      <c r="K158" s="242">
        <f>K153+K156</f>
        <v>0</v>
      </c>
      <c r="L158" s="530">
        <v>200</v>
      </c>
      <c r="M158" s="535" t="s">
        <v>207</v>
      </c>
      <c r="N158" s="242">
        <f>N153+N156</f>
        <v>266</v>
      </c>
      <c r="O158" s="28"/>
      <c r="P158" s="402"/>
      <c r="Q158" s="33"/>
      <c r="R158" s="404"/>
      <c r="U158" s="13"/>
    </row>
    <row r="159" spans="1:32" ht="16.5" customHeight="1" x14ac:dyDescent="0.2">
      <c r="A159" s="1489" t="s">
        <v>9</v>
      </c>
      <c r="B159" s="1552" t="s">
        <v>53</v>
      </c>
      <c r="C159" s="1617" t="s">
        <v>11</v>
      </c>
      <c r="D159" s="1499" t="s">
        <v>125</v>
      </c>
      <c r="E159" s="1525"/>
      <c r="F159" s="1620" t="s">
        <v>41</v>
      </c>
      <c r="G159" s="1483" t="s">
        <v>40</v>
      </c>
      <c r="H159" s="15" t="s">
        <v>36</v>
      </c>
      <c r="I159" s="239">
        <f>J159+L159</f>
        <v>48.6</v>
      </c>
      <c r="J159" s="229">
        <v>48.6</v>
      </c>
      <c r="K159" s="229"/>
      <c r="L159" s="240"/>
      <c r="M159" s="121">
        <v>44.7</v>
      </c>
      <c r="N159" s="46">
        <v>52.9</v>
      </c>
      <c r="O159" s="386" t="s">
        <v>127</v>
      </c>
      <c r="P159" s="401">
        <v>49</v>
      </c>
      <c r="Q159" s="401">
        <v>50</v>
      </c>
      <c r="R159" s="403">
        <v>49</v>
      </c>
      <c r="U159" s="13"/>
    </row>
    <row r="160" spans="1:32" ht="16.5" customHeight="1" x14ac:dyDescent="0.2">
      <c r="A160" s="1444"/>
      <c r="B160" s="1553"/>
      <c r="C160" s="1618"/>
      <c r="D160" s="1476"/>
      <c r="E160" s="1526"/>
      <c r="F160" s="1621"/>
      <c r="G160" s="1413"/>
      <c r="H160" s="145"/>
      <c r="I160" s="231"/>
      <c r="J160" s="224"/>
      <c r="K160" s="224"/>
      <c r="L160" s="244"/>
      <c r="M160" s="82"/>
      <c r="N160" s="23"/>
      <c r="O160" s="27" t="s">
        <v>126</v>
      </c>
      <c r="P160" s="31">
        <v>12</v>
      </c>
      <c r="Q160" s="32">
        <v>10</v>
      </c>
      <c r="R160" s="144">
        <v>13</v>
      </c>
      <c r="U160" s="13"/>
    </row>
    <row r="161" spans="1:23" ht="13.5" customHeight="1" thickBot="1" x14ac:dyDescent="0.25">
      <c r="A161" s="1484"/>
      <c r="B161" s="1554"/>
      <c r="C161" s="1619"/>
      <c r="D161" s="1487"/>
      <c r="E161" s="1565"/>
      <c r="F161" s="1622"/>
      <c r="G161" s="1497"/>
      <c r="H161" s="283" t="s">
        <v>10</v>
      </c>
      <c r="I161" s="236">
        <f t="shared" ref="I161:N161" si="16">I159</f>
        <v>48.6</v>
      </c>
      <c r="J161" s="242">
        <f t="shared" si="16"/>
        <v>48.6</v>
      </c>
      <c r="K161" s="242">
        <f t="shared" si="16"/>
        <v>0</v>
      </c>
      <c r="L161" s="245">
        <f t="shared" si="16"/>
        <v>0</v>
      </c>
      <c r="M161" s="247">
        <f t="shared" si="16"/>
        <v>44.7</v>
      </c>
      <c r="N161" s="278">
        <f t="shared" si="16"/>
        <v>52.9</v>
      </c>
      <c r="O161" s="28"/>
      <c r="P161" s="402"/>
      <c r="Q161" s="33"/>
      <c r="R161" s="404"/>
      <c r="U161" s="13"/>
      <c r="W161" s="527"/>
    </row>
    <row r="162" spans="1:23" ht="27.75" customHeight="1" thickBot="1" x14ac:dyDescent="0.25">
      <c r="A162" s="390" t="s">
        <v>9</v>
      </c>
      <c r="B162" s="396" t="s">
        <v>53</v>
      </c>
      <c r="C162" s="1603" t="s">
        <v>12</v>
      </c>
      <c r="D162" s="1548"/>
      <c r="E162" s="1548"/>
      <c r="F162" s="1548"/>
      <c r="G162" s="1548"/>
      <c r="H162" s="1574"/>
      <c r="I162" s="537" t="s">
        <v>209</v>
      </c>
      <c r="J162" s="24">
        <f>J161+J158</f>
        <v>314.3</v>
      </c>
      <c r="K162" s="24">
        <f>K161+K158</f>
        <v>0</v>
      </c>
      <c r="L162" s="533">
        <v>200</v>
      </c>
      <c r="M162" s="534" t="s">
        <v>206</v>
      </c>
      <c r="N162" s="24">
        <f>N161+N158</f>
        <v>318.89999999999998</v>
      </c>
      <c r="O162" s="137"/>
      <c r="P162" s="138"/>
      <c r="Q162" s="139"/>
      <c r="R162" s="140"/>
    </row>
    <row r="163" spans="1:23" ht="13.5" thickBot="1" x14ac:dyDescent="0.25">
      <c r="A163" s="93" t="s">
        <v>9</v>
      </c>
      <c r="B163" s="11" t="s">
        <v>109</v>
      </c>
      <c r="C163" s="1589" t="s">
        <v>110</v>
      </c>
      <c r="D163" s="1590"/>
      <c r="E163" s="1590"/>
      <c r="F163" s="1590"/>
      <c r="G163" s="1590"/>
      <c r="H163" s="1590"/>
      <c r="I163" s="1590"/>
      <c r="J163" s="1590"/>
      <c r="K163" s="1590"/>
      <c r="L163" s="1590"/>
      <c r="M163" s="1590"/>
      <c r="N163" s="1590"/>
      <c r="O163" s="1590"/>
      <c r="P163" s="1590"/>
      <c r="Q163" s="1590"/>
      <c r="R163" s="1591"/>
    </row>
    <row r="164" spans="1:23" ht="14.25" customHeight="1" x14ac:dyDescent="0.2">
      <c r="A164" s="100" t="s">
        <v>9</v>
      </c>
      <c r="B164" s="89" t="s">
        <v>54</v>
      </c>
      <c r="C164" s="397" t="s">
        <v>9</v>
      </c>
      <c r="D164" s="119" t="s">
        <v>118</v>
      </c>
      <c r="E164" s="1641"/>
      <c r="F164" s="1644" t="s">
        <v>44</v>
      </c>
      <c r="G164" s="1647">
        <v>6</v>
      </c>
      <c r="H164" s="367" t="s">
        <v>36</v>
      </c>
      <c r="I164" s="340">
        <f>J164+L164</f>
        <v>12686.1</v>
      </c>
      <c r="J164" s="268">
        <v>12686.1</v>
      </c>
      <c r="K164" s="268"/>
      <c r="L164" s="351"/>
      <c r="M164" s="371">
        <v>13019</v>
      </c>
      <c r="N164" s="79">
        <v>13019</v>
      </c>
      <c r="O164" s="400" t="s">
        <v>124</v>
      </c>
      <c r="P164" s="124">
        <v>116</v>
      </c>
      <c r="Q164" s="124">
        <v>116</v>
      </c>
      <c r="R164" s="125">
        <v>116</v>
      </c>
    </row>
    <row r="165" spans="1:23" ht="15" customHeight="1" x14ac:dyDescent="0.2">
      <c r="A165" s="391"/>
      <c r="B165" s="392"/>
      <c r="C165" s="393"/>
      <c r="D165" s="120" t="s">
        <v>120</v>
      </c>
      <c r="E165" s="1642"/>
      <c r="F165" s="1645"/>
      <c r="G165" s="1648"/>
      <c r="H165" s="369"/>
      <c r="I165" s="246"/>
      <c r="J165" s="219"/>
      <c r="K165" s="219"/>
      <c r="L165" s="243"/>
      <c r="M165" s="375"/>
      <c r="N165" s="368"/>
      <c r="O165" s="387"/>
      <c r="P165" s="31"/>
      <c r="Q165" s="31"/>
      <c r="R165" s="144"/>
    </row>
    <row r="166" spans="1:23" ht="16.5" customHeight="1" x14ac:dyDescent="0.2">
      <c r="A166" s="391"/>
      <c r="B166" s="392"/>
      <c r="C166" s="393"/>
      <c r="D166" s="394" t="s">
        <v>121</v>
      </c>
      <c r="E166" s="1642"/>
      <c r="F166" s="1645"/>
      <c r="G166" s="1648"/>
      <c r="H166" s="369"/>
      <c r="I166" s="246"/>
      <c r="J166" s="219"/>
      <c r="K166" s="219"/>
      <c r="L166" s="243"/>
      <c r="M166" s="375"/>
      <c r="N166" s="368"/>
      <c r="O166" s="387"/>
      <c r="P166" s="31"/>
      <c r="Q166" s="31"/>
      <c r="R166" s="144"/>
    </row>
    <row r="167" spans="1:23" ht="15.75" customHeight="1" x14ac:dyDescent="0.2">
      <c r="A167" s="391"/>
      <c r="B167" s="392"/>
      <c r="C167" s="393"/>
      <c r="D167" s="120" t="s">
        <v>122</v>
      </c>
      <c r="E167" s="1642"/>
      <c r="F167" s="1645"/>
      <c r="G167" s="1648"/>
      <c r="H167" s="369"/>
      <c r="I167" s="246"/>
      <c r="J167" s="219"/>
      <c r="K167" s="219"/>
      <c r="L167" s="243"/>
      <c r="M167" s="375"/>
      <c r="N167" s="368"/>
      <c r="O167" s="387"/>
      <c r="P167" s="31"/>
      <c r="Q167" s="31"/>
      <c r="R167" s="144"/>
    </row>
    <row r="168" spans="1:23" s="52" customFormat="1" ht="15.75" customHeight="1" x14ac:dyDescent="0.2">
      <c r="A168" s="389"/>
      <c r="B168" s="395"/>
      <c r="C168" s="70"/>
      <c r="D168" s="120" t="s">
        <v>123</v>
      </c>
      <c r="E168" s="1642"/>
      <c r="F168" s="1645"/>
      <c r="G168" s="1648"/>
      <c r="H168" s="16"/>
      <c r="I168" s="376"/>
      <c r="J168" s="377"/>
      <c r="K168" s="378"/>
      <c r="L168" s="379"/>
      <c r="M168" s="375"/>
      <c r="N168" s="368"/>
      <c r="O168" s="387"/>
      <c r="P168" s="128"/>
      <c r="Q168" s="129"/>
      <c r="R168" s="132"/>
    </row>
    <row r="169" spans="1:23" x14ac:dyDescent="0.2">
      <c r="A169" s="1613"/>
      <c r="B169" s="1615"/>
      <c r="C169" s="1618"/>
      <c r="D169" s="1469" t="s">
        <v>119</v>
      </c>
      <c r="E169" s="1642"/>
      <c r="F169" s="1645"/>
      <c r="G169" s="1648"/>
      <c r="H169" s="372"/>
      <c r="I169" s="215"/>
      <c r="J169" s="216"/>
      <c r="K169" s="216"/>
      <c r="L169" s="232"/>
      <c r="M169" s="373"/>
      <c r="N169" s="374"/>
      <c r="O169" s="387"/>
      <c r="P169" s="31"/>
      <c r="Q169" s="31"/>
      <c r="R169" s="144"/>
    </row>
    <row r="170" spans="1:23" ht="13.5" thickBot="1" x14ac:dyDescent="0.25">
      <c r="A170" s="1652"/>
      <c r="B170" s="1653"/>
      <c r="C170" s="1619"/>
      <c r="D170" s="1654"/>
      <c r="E170" s="1643"/>
      <c r="F170" s="1646"/>
      <c r="G170" s="1649"/>
      <c r="H170" s="283" t="s">
        <v>10</v>
      </c>
      <c r="I170" s="270">
        <f t="shared" ref="I170:N170" si="17">SUM(I164:I169)</f>
        <v>12686.1</v>
      </c>
      <c r="J170" s="270">
        <f>SUM(J164:J169)</f>
        <v>12686.1</v>
      </c>
      <c r="K170" s="270">
        <f t="shared" si="17"/>
        <v>0</v>
      </c>
      <c r="L170" s="271">
        <f t="shared" si="17"/>
        <v>0</v>
      </c>
      <c r="M170" s="284">
        <f>SUM(M164:M169)</f>
        <v>13019</v>
      </c>
      <c r="N170" s="286">
        <f t="shared" si="17"/>
        <v>13019</v>
      </c>
      <c r="O170" s="28"/>
      <c r="P170" s="402"/>
      <c r="Q170" s="33"/>
      <c r="R170" s="404"/>
      <c r="U170" s="13"/>
    </row>
    <row r="171" spans="1:23" ht="12.75" customHeight="1" x14ac:dyDescent="0.2">
      <c r="A171" s="1489" t="s">
        <v>9</v>
      </c>
      <c r="B171" s="1552" t="s">
        <v>54</v>
      </c>
      <c r="C171" s="1617" t="s">
        <v>11</v>
      </c>
      <c r="D171" s="1499" t="s">
        <v>157</v>
      </c>
      <c r="E171" s="1525"/>
      <c r="F171" s="1620" t="s">
        <v>54</v>
      </c>
      <c r="G171" s="1483" t="s">
        <v>90</v>
      </c>
      <c r="H171" s="25" t="s">
        <v>36</v>
      </c>
      <c r="I171" s="233">
        <f>J171+L171</f>
        <v>39.299999999999997</v>
      </c>
      <c r="J171" s="222">
        <v>39.299999999999997</v>
      </c>
      <c r="K171" s="222"/>
      <c r="L171" s="234"/>
      <c r="M171" s="122">
        <v>56.9</v>
      </c>
      <c r="N171" s="51">
        <v>0</v>
      </c>
      <c r="O171" s="1639" t="s">
        <v>158</v>
      </c>
      <c r="P171" s="401">
        <v>1</v>
      </c>
      <c r="Q171" s="401"/>
      <c r="R171" s="403"/>
      <c r="U171" s="13"/>
    </row>
    <row r="172" spans="1:23" x14ac:dyDescent="0.2">
      <c r="A172" s="1444"/>
      <c r="B172" s="1553"/>
      <c r="C172" s="1618"/>
      <c r="D172" s="1476"/>
      <c r="E172" s="1526"/>
      <c r="F172" s="1621"/>
      <c r="G172" s="1413"/>
      <c r="H172" s="145"/>
      <c r="I172" s="231"/>
      <c r="J172" s="224"/>
      <c r="K172" s="224"/>
      <c r="L172" s="244"/>
      <c r="M172" s="82"/>
      <c r="N172" s="23"/>
      <c r="O172" s="1640"/>
      <c r="P172" s="31"/>
      <c r="Q172" s="32"/>
      <c r="R172" s="144"/>
      <c r="U172" s="13"/>
    </row>
    <row r="173" spans="1:23" ht="13.5" thickBot="1" x14ac:dyDescent="0.25">
      <c r="A173" s="1484"/>
      <c r="B173" s="1554"/>
      <c r="C173" s="1619"/>
      <c r="D173" s="1487"/>
      <c r="E173" s="1565"/>
      <c r="F173" s="1622"/>
      <c r="G173" s="1497"/>
      <c r="H173" s="283" t="s">
        <v>10</v>
      </c>
      <c r="I173" s="236">
        <f t="shared" ref="I173:N173" si="18">I171</f>
        <v>39.299999999999997</v>
      </c>
      <c r="J173" s="242">
        <f t="shared" si="18"/>
        <v>39.299999999999997</v>
      </c>
      <c r="K173" s="242">
        <f t="shared" si="18"/>
        <v>0</v>
      </c>
      <c r="L173" s="245">
        <f t="shared" si="18"/>
        <v>0</v>
      </c>
      <c r="M173" s="247">
        <f t="shared" si="18"/>
        <v>56.9</v>
      </c>
      <c r="N173" s="278">
        <f t="shared" si="18"/>
        <v>0</v>
      </c>
      <c r="O173" s="28"/>
      <c r="P173" s="402"/>
      <c r="Q173" s="33"/>
      <c r="R173" s="404"/>
      <c r="U173" s="13"/>
    </row>
    <row r="174" spans="1:23" s="52" customFormat="1" ht="12.75" customHeight="1" x14ac:dyDescent="0.2">
      <c r="A174" s="1489" t="s">
        <v>9</v>
      </c>
      <c r="B174" s="163" t="s">
        <v>54</v>
      </c>
      <c r="C174" s="164" t="s">
        <v>38</v>
      </c>
      <c r="D174" s="1499" t="s">
        <v>168</v>
      </c>
      <c r="E174" s="165"/>
      <c r="F174" s="166" t="s">
        <v>41</v>
      </c>
      <c r="G174" s="167">
        <v>6</v>
      </c>
      <c r="H174" s="151" t="s">
        <v>36</v>
      </c>
      <c r="I174" s="446">
        <f>J174</f>
        <v>3.5</v>
      </c>
      <c r="J174" s="447">
        <v>3.5</v>
      </c>
      <c r="K174" s="447"/>
      <c r="L174" s="448"/>
      <c r="M174" s="152"/>
      <c r="N174" s="153"/>
      <c r="O174" s="1650" t="s">
        <v>185</v>
      </c>
      <c r="P174" s="204">
        <v>100</v>
      </c>
      <c r="Q174" s="154"/>
      <c r="R174" s="155"/>
    </row>
    <row r="175" spans="1:23" s="52" customFormat="1" x14ac:dyDescent="0.2">
      <c r="A175" s="1444"/>
      <c r="B175" s="149"/>
      <c r="C175" s="150"/>
      <c r="D175" s="1476"/>
      <c r="E175" s="156"/>
      <c r="G175" s="157"/>
      <c r="H175" s="158"/>
      <c r="I175" s="449"/>
      <c r="J175" s="450"/>
      <c r="K175" s="450"/>
      <c r="L175" s="451"/>
      <c r="M175" s="152"/>
      <c r="N175" s="153"/>
      <c r="O175" s="1651"/>
      <c r="P175" s="159"/>
      <c r="Q175" s="159"/>
      <c r="R175" s="160"/>
    </row>
    <row r="176" spans="1:23" s="52" customFormat="1" ht="13.5" thickBot="1" x14ac:dyDescent="0.25">
      <c r="A176" s="1484"/>
      <c r="B176" s="168"/>
      <c r="C176" s="169"/>
      <c r="D176" s="1487"/>
      <c r="E176" s="170"/>
      <c r="F176" s="171"/>
      <c r="G176" s="172"/>
      <c r="H176" s="288" t="s">
        <v>10</v>
      </c>
      <c r="I176" s="452">
        <f>I174</f>
        <v>3.5</v>
      </c>
      <c r="J176" s="452">
        <f>J174</f>
        <v>3.5</v>
      </c>
      <c r="K176" s="453"/>
      <c r="L176" s="454">
        <f>SUM(L174:L175)</f>
        <v>0</v>
      </c>
      <c r="M176" s="289">
        <f>SUM(M174:M175)</f>
        <v>0</v>
      </c>
      <c r="N176" s="290">
        <f>SUM(N174:N175)</f>
        <v>0</v>
      </c>
      <c r="O176" s="1651"/>
      <c r="P176" s="205"/>
      <c r="Q176" s="161"/>
      <c r="R176" s="162"/>
    </row>
    <row r="177" spans="1:40" ht="13.5" thickBot="1" x14ac:dyDescent="0.25">
      <c r="A177" s="390" t="s">
        <v>9</v>
      </c>
      <c r="B177" s="396" t="s">
        <v>54</v>
      </c>
      <c r="C177" s="1626" t="s">
        <v>12</v>
      </c>
      <c r="D177" s="1627"/>
      <c r="E177" s="1627"/>
      <c r="F177" s="1627"/>
      <c r="G177" s="1627"/>
      <c r="H177" s="1574"/>
      <c r="I177" s="176">
        <f t="shared" ref="I177:N177" si="19">I173+I170+I176</f>
        <v>12728.9</v>
      </c>
      <c r="J177" s="24">
        <f t="shared" si="19"/>
        <v>12728.9</v>
      </c>
      <c r="K177" s="24">
        <f t="shared" si="19"/>
        <v>0</v>
      </c>
      <c r="L177" s="177">
        <f t="shared" si="19"/>
        <v>0</v>
      </c>
      <c r="M177" s="441">
        <f>M173+M170+M176</f>
        <v>13075.9</v>
      </c>
      <c r="N177" s="441">
        <f t="shared" si="19"/>
        <v>13019</v>
      </c>
      <c r="O177" s="1575"/>
      <c r="P177" s="1576"/>
      <c r="Q177" s="1576"/>
      <c r="R177" s="1577"/>
    </row>
    <row r="178" spans="1:40" ht="27.75" customHeight="1" thickBot="1" x14ac:dyDescent="0.25">
      <c r="A178" s="99" t="s">
        <v>9</v>
      </c>
      <c r="B178" s="1628" t="s">
        <v>13</v>
      </c>
      <c r="C178" s="1629"/>
      <c r="D178" s="1629"/>
      <c r="E178" s="1629"/>
      <c r="F178" s="1629"/>
      <c r="G178" s="1629"/>
      <c r="H178" s="1630"/>
      <c r="I178" s="443">
        <v>34965.800000000003</v>
      </c>
      <c r="J178" s="555" t="s">
        <v>217</v>
      </c>
      <c r="K178" s="442">
        <f>SUM(K110,K136,K150,K162,K177)</f>
        <v>742.7</v>
      </c>
      <c r="L178" s="556" t="s">
        <v>218</v>
      </c>
      <c r="M178" s="557" t="s">
        <v>219</v>
      </c>
      <c r="N178" s="101">
        <f>SUM(N110,N136,N150,N162,N177)</f>
        <v>37729.699999999997</v>
      </c>
      <c r="O178" s="1631"/>
      <c r="P178" s="1632"/>
      <c r="Q178" s="1632"/>
      <c r="R178" s="1633"/>
    </row>
    <row r="179" spans="1:40" ht="32.25" customHeight="1" thickBot="1" x14ac:dyDescent="0.25">
      <c r="A179" s="102" t="s">
        <v>55</v>
      </c>
      <c r="B179" s="1634" t="s">
        <v>128</v>
      </c>
      <c r="C179" s="1635"/>
      <c r="D179" s="1635"/>
      <c r="E179" s="1635"/>
      <c r="F179" s="1635"/>
      <c r="G179" s="1635"/>
      <c r="H179" s="1635"/>
      <c r="I179" s="287">
        <f>SUM(I178)</f>
        <v>34965.800000000003</v>
      </c>
      <c r="J179" s="561" t="s">
        <v>217</v>
      </c>
      <c r="K179" s="558">
        <f>SUM(K178)</f>
        <v>742.7</v>
      </c>
      <c r="L179" s="562" t="s">
        <v>218</v>
      </c>
      <c r="M179" s="559" t="s">
        <v>219</v>
      </c>
      <c r="N179" s="560">
        <f>SUM(N178)</f>
        <v>37729.699999999997</v>
      </c>
      <c r="O179" s="1636"/>
      <c r="P179" s="1637"/>
      <c r="Q179" s="1637"/>
      <c r="R179" s="1638"/>
    </row>
    <row r="180" spans="1:40" s="22" customFormat="1" ht="19.5" customHeight="1" x14ac:dyDescent="0.2">
      <c r="A180" s="1623"/>
      <c r="B180" s="1623"/>
      <c r="C180" s="1623"/>
      <c r="D180" s="1623"/>
      <c r="E180" s="1623"/>
      <c r="F180" s="1623"/>
      <c r="G180" s="1623"/>
      <c r="H180" s="1623"/>
      <c r="I180" s="1623"/>
      <c r="J180" s="1623"/>
      <c r="K180" s="1623"/>
      <c r="L180" s="1623"/>
      <c r="M180" s="1623"/>
      <c r="N180" s="1623"/>
      <c r="O180" s="1623"/>
      <c r="P180" s="1623"/>
      <c r="Q180" s="1623"/>
      <c r="R180" s="1623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s="22" customFormat="1" ht="14.25" customHeight="1" x14ac:dyDescent="0.2">
      <c r="A181" s="1623"/>
      <c r="B181" s="1623"/>
      <c r="C181" s="1623"/>
      <c r="D181" s="1623"/>
      <c r="E181" s="1623"/>
      <c r="F181" s="1623"/>
      <c r="G181" s="1623"/>
      <c r="H181" s="1623"/>
      <c r="I181" s="1623"/>
      <c r="J181" s="1623"/>
      <c r="K181" s="1623"/>
      <c r="L181" s="1623"/>
      <c r="M181" s="62"/>
      <c r="N181" s="62"/>
      <c r="O181" s="62"/>
      <c r="P181" s="62"/>
      <c r="Q181" s="62"/>
      <c r="R181" s="62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x14ac:dyDescent="0.2">
      <c r="I182" s="57"/>
      <c r="J182" s="291"/>
      <c r="K182" s="291"/>
      <c r="L182" s="291"/>
      <c r="M182" s="291"/>
      <c r="N182" s="57"/>
      <c r="O182" s="80"/>
      <c r="P182" s="5"/>
      <c r="Q182" s="5"/>
      <c r="R182" s="5"/>
    </row>
    <row r="183" spans="1:40" x14ac:dyDescent="0.2">
      <c r="I183" s="444"/>
      <c r="J183" s="445"/>
      <c r="K183" s="80"/>
      <c r="P183" s="5"/>
      <c r="Q183" s="5"/>
      <c r="R183" s="5"/>
    </row>
    <row r="184" spans="1:40" x14ac:dyDescent="0.2">
      <c r="J184" s="291"/>
      <c r="M184" s="380"/>
      <c r="P184" s="5"/>
      <c r="Q184" s="5"/>
      <c r="R184" s="5"/>
    </row>
  </sheetData>
  <mergeCells count="396">
    <mergeCell ref="A180:R180"/>
    <mergeCell ref="A181:L181"/>
    <mergeCell ref="O1:R1"/>
    <mergeCell ref="C177:H177"/>
    <mergeCell ref="O177:R177"/>
    <mergeCell ref="B178:H178"/>
    <mergeCell ref="O178:R178"/>
    <mergeCell ref="B179:H179"/>
    <mergeCell ref="O179:R179"/>
    <mergeCell ref="E171:E173"/>
    <mergeCell ref="F171:F173"/>
    <mergeCell ref="G171:G173"/>
    <mergeCell ref="O171:O172"/>
    <mergeCell ref="E164:E170"/>
    <mergeCell ref="F164:F170"/>
    <mergeCell ref="G164:G170"/>
    <mergeCell ref="A174:A176"/>
    <mergeCell ref="D174:D176"/>
    <mergeCell ref="O174:O176"/>
    <mergeCell ref="A169:A170"/>
    <mergeCell ref="B169:B170"/>
    <mergeCell ref="C169:C170"/>
    <mergeCell ref="D169:D170"/>
    <mergeCell ref="A171:A173"/>
    <mergeCell ref="B171:B173"/>
    <mergeCell ref="C171:C173"/>
    <mergeCell ref="D171:D173"/>
    <mergeCell ref="A159:A161"/>
    <mergeCell ref="B159:B161"/>
    <mergeCell ref="C159:C161"/>
    <mergeCell ref="D159:D161"/>
    <mergeCell ref="E159:E161"/>
    <mergeCell ref="F159:F161"/>
    <mergeCell ref="G159:G161"/>
    <mergeCell ref="C162:H162"/>
    <mergeCell ref="C163:R163"/>
    <mergeCell ref="G156:G157"/>
    <mergeCell ref="O156:O157"/>
    <mergeCell ref="G153:G155"/>
    <mergeCell ref="O153:O155"/>
    <mergeCell ref="A156:A157"/>
    <mergeCell ref="B156:B157"/>
    <mergeCell ref="C156:C157"/>
    <mergeCell ref="D156:D157"/>
    <mergeCell ref="E156:E157"/>
    <mergeCell ref="F156:F157"/>
    <mergeCell ref="C150:H150"/>
    <mergeCell ref="O150:R150"/>
    <mergeCell ref="C151:R151"/>
    <mergeCell ref="A153:A155"/>
    <mergeCell ref="B153:B155"/>
    <mergeCell ref="C153:C155"/>
    <mergeCell ref="D153:D155"/>
    <mergeCell ref="E153:E155"/>
    <mergeCell ref="F153:F155"/>
    <mergeCell ref="G148:G149"/>
    <mergeCell ref="O148:O149"/>
    <mergeCell ref="P148:P149"/>
    <mergeCell ref="Q148:Q149"/>
    <mergeCell ref="R148:R149"/>
    <mergeCell ref="G145:G147"/>
    <mergeCell ref="O145:O146"/>
    <mergeCell ref="A148:A149"/>
    <mergeCell ref="B148:B149"/>
    <mergeCell ref="C148:C149"/>
    <mergeCell ref="D148:D149"/>
    <mergeCell ref="E148:E149"/>
    <mergeCell ref="F148:F149"/>
    <mergeCell ref="G142:G144"/>
    <mergeCell ref="O142:O143"/>
    <mergeCell ref="A145:A147"/>
    <mergeCell ref="B145:B147"/>
    <mergeCell ref="C145:C147"/>
    <mergeCell ref="D145:D147"/>
    <mergeCell ref="E145:E147"/>
    <mergeCell ref="F145:F147"/>
    <mergeCell ref="G138:G141"/>
    <mergeCell ref="O138:O141"/>
    <mergeCell ref="A142:A144"/>
    <mergeCell ref="B142:B144"/>
    <mergeCell ref="C142:C144"/>
    <mergeCell ref="D142:D144"/>
    <mergeCell ref="E142:E144"/>
    <mergeCell ref="F142:F144"/>
    <mergeCell ref="C136:H136"/>
    <mergeCell ref="O136:R136"/>
    <mergeCell ref="C137:R137"/>
    <mergeCell ref="A138:A141"/>
    <mergeCell ref="B138:B141"/>
    <mergeCell ref="C138:C141"/>
    <mergeCell ref="D138:D141"/>
    <mergeCell ref="E138:E141"/>
    <mergeCell ref="F138:F141"/>
    <mergeCell ref="F130:F132"/>
    <mergeCell ref="G130:G132"/>
    <mergeCell ref="A133:A135"/>
    <mergeCell ref="B133:B135"/>
    <mergeCell ref="C133:C135"/>
    <mergeCell ref="D133:D135"/>
    <mergeCell ref="E133:E135"/>
    <mergeCell ref="F133:F135"/>
    <mergeCell ref="G133:G135"/>
    <mergeCell ref="A130:A132"/>
    <mergeCell ref="B130:B132"/>
    <mergeCell ref="C130:C132"/>
    <mergeCell ref="D130:D132"/>
    <mergeCell ref="E130:E132"/>
    <mergeCell ref="A124:A126"/>
    <mergeCell ref="B124:B126"/>
    <mergeCell ref="C124:C126"/>
    <mergeCell ref="D124:D126"/>
    <mergeCell ref="E127:E129"/>
    <mergeCell ref="F127:F129"/>
    <mergeCell ref="G127:G129"/>
    <mergeCell ref="O127:O129"/>
    <mergeCell ref="P127:P128"/>
    <mergeCell ref="E124:E126"/>
    <mergeCell ref="F124:F126"/>
    <mergeCell ref="G124:G126"/>
    <mergeCell ref="O124:O125"/>
    <mergeCell ref="A127:A129"/>
    <mergeCell ref="B127:B129"/>
    <mergeCell ref="C127:C129"/>
    <mergeCell ref="D127:D129"/>
    <mergeCell ref="F116:F118"/>
    <mergeCell ref="G116:G118"/>
    <mergeCell ref="O116:O118"/>
    <mergeCell ref="A119:A123"/>
    <mergeCell ref="B119:B123"/>
    <mergeCell ref="C119:C123"/>
    <mergeCell ref="D119:D123"/>
    <mergeCell ref="E119:E123"/>
    <mergeCell ref="F112:F115"/>
    <mergeCell ref="G112:G115"/>
    <mergeCell ref="O112:O114"/>
    <mergeCell ref="A116:A118"/>
    <mergeCell ref="B116:B118"/>
    <mergeCell ref="C116:C118"/>
    <mergeCell ref="D116:D118"/>
    <mergeCell ref="E116:E118"/>
    <mergeCell ref="F119:F123"/>
    <mergeCell ref="G119:G123"/>
    <mergeCell ref="O119:O120"/>
    <mergeCell ref="O121:O122"/>
    <mergeCell ref="C110:H110"/>
    <mergeCell ref="C111:R111"/>
    <mergeCell ref="A112:A115"/>
    <mergeCell ref="B112:B115"/>
    <mergeCell ref="C112:C115"/>
    <mergeCell ref="D112:D115"/>
    <mergeCell ref="E112:E115"/>
    <mergeCell ref="E106:E109"/>
    <mergeCell ref="F106:F109"/>
    <mergeCell ref="G106:G109"/>
    <mergeCell ref="O106:O107"/>
    <mergeCell ref="O108:O109"/>
    <mergeCell ref="F102:F105"/>
    <mergeCell ref="G102:G105"/>
    <mergeCell ref="O102:O103"/>
    <mergeCell ref="O104:O105"/>
    <mergeCell ref="A106:A109"/>
    <mergeCell ref="B106:B109"/>
    <mergeCell ref="C106:C109"/>
    <mergeCell ref="D106:D109"/>
    <mergeCell ref="A102:A105"/>
    <mergeCell ref="B102:B105"/>
    <mergeCell ref="C102:C105"/>
    <mergeCell ref="D102:D105"/>
    <mergeCell ref="E102:E105"/>
    <mergeCell ref="O91:O93"/>
    <mergeCell ref="D95:D96"/>
    <mergeCell ref="O95:O96"/>
    <mergeCell ref="A91:A94"/>
    <mergeCell ref="B91:B94"/>
    <mergeCell ref="C91:C94"/>
    <mergeCell ref="D91:D94"/>
    <mergeCell ref="E91:E94"/>
    <mergeCell ref="F91:F94"/>
    <mergeCell ref="G91:G94"/>
    <mergeCell ref="A88:A90"/>
    <mergeCell ref="B88:B90"/>
    <mergeCell ref="C88:C90"/>
    <mergeCell ref="D88:D90"/>
    <mergeCell ref="E88:E90"/>
    <mergeCell ref="F88:F90"/>
    <mergeCell ref="G88:G89"/>
    <mergeCell ref="F82:F87"/>
    <mergeCell ref="O82:O83"/>
    <mergeCell ref="P82:P83"/>
    <mergeCell ref="Q82:Q83"/>
    <mergeCell ref="R82:R83"/>
    <mergeCell ref="O84:O85"/>
    <mergeCell ref="F78:F81"/>
    <mergeCell ref="G78:G81"/>
    <mergeCell ref="O78:O79"/>
    <mergeCell ref="A82:A87"/>
    <mergeCell ref="B82:B87"/>
    <mergeCell ref="C82:C87"/>
    <mergeCell ref="D82:D87"/>
    <mergeCell ref="E82:E83"/>
    <mergeCell ref="O86:O87"/>
    <mergeCell ref="O76:O77"/>
    <mergeCell ref="A78:A81"/>
    <mergeCell ref="B78:B81"/>
    <mergeCell ref="C78:C81"/>
    <mergeCell ref="D78:D81"/>
    <mergeCell ref="E78:E81"/>
    <mergeCell ref="B76:B77"/>
    <mergeCell ref="C76:C77"/>
    <mergeCell ref="D76:D77"/>
    <mergeCell ref="E76:E77"/>
    <mergeCell ref="F76:F77"/>
    <mergeCell ref="A71:A72"/>
    <mergeCell ref="B71:B72"/>
    <mergeCell ref="C71:C72"/>
    <mergeCell ref="D71:D72"/>
    <mergeCell ref="E71:E72"/>
    <mergeCell ref="A76:A77"/>
    <mergeCell ref="F71:F72"/>
    <mergeCell ref="G71:G72"/>
    <mergeCell ref="A73:A74"/>
    <mergeCell ref="B73:B74"/>
    <mergeCell ref="C73:C74"/>
    <mergeCell ref="D73:D74"/>
    <mergeCell ref="E73:E74"/>
    <mergeCell ref="F73:F74"/>
    <mergeCell ref="G73:G74"/>
    <mergeCell ref="G76:G77"/>
    <mergeCell ref="R64:R65"/>
    <mergeCell ref="A67:A70"/>
    <mergeCell ref="B67:B70"/>
    <mergeCell ref="C67:C70"/>
    <mergeCell ref="D67:D70"/>
    <mergeCell ref="E67:E70"/>
    <mergeCell ref="F67:F70"/>
    <mergeCell ref="G67:G70"/>
    <mergeCell ref="F64:F66"/>
    <mergeCell ref="G64:G66"/>
    <mergeCell ref="O64:O65"/>
    <mergeCell ref="P64:P65"/>
    <mergeCell ref="Q64:Q65"/>
    <mergeCell ref="A64:A66"/>
    <mergeCell ref="B64:B66"/>
    <mergeCell ref="C64:C66"/>
    <mergeCell ref="D64:D66"/>
    <mergeCell ref="E64:E66"/>
    <mergeCell ref="O67:O68"/>
    <mergeCell ref="P67:P68"/>
    <mergeCell ref="Q67:Q68"/>
    <mergeCell ref="R67:R68"/>
    <mergeCell ref="F62:F63"/>
    <mergeCell ref="G62:G63"/>
    <mergeCell ref="O62:O63"/>
    <mergeCell ref="P62:P63"/>
    <mergeCell ref="Q62:Q63"/>
    <mergeCell ref="R62:R63"/>
    <mergeCell ref="A62:A63"/>
    <mergeCell ref="B62:B63"/>
    <mergeCell ref="C62:C63"/>
    <mergeCell ref="D62:D63"/>
    <mergeCell ref="E62:E63"/>
    <mergeCell ref="D54:D56"/>
    <mergeCell ref="O54:O55"/>
    <mergeCell ref="O59:O60"/>
    <mergeCell ref="D60:D61"/>
    <mergeCell ref="O50:O51"/>
    <mergeCell ref="A52:A53"/>
    <mergeCell ref="B52:B53"/>
    <mergeCell ref="C52:C53"/>
    <mergeCell ref="D52:D53"/>
    <mergeCell ref="E52:E53"/>
    <mergeCell ref="F52:F53"/>
    <mergeCell ref="G52:G53"/>
    <mergeCell ref="O48:O49"/>
    <mergeCell ref="A50:A51"/>
    <mergeCell ref="B50:B51"/>
    <mergeCell ref="C50:C51"/>
    <mergeCell ref="D50:D51"/>
    <mergeCell ref="E50:E51"/>
    <mergeCell ref="F50:F51"/>
    <mergeCell ref="G50:G51"/>
    <mergeCell ref="O52:O53"/>
    <mergeCell ref="F45:F46"/>
    <mergeCell ref="G45:G46"/>
    <mergeCell ref="A47:A49"/>
    <mergeCell ref="B47:B49"/>
    <mergeCell ref="C47:C49"/>
    <mergeCell ref="D47:D49"/>
    <mergeCell ref="F47:F49"/>
    <mergeCell ref="A45:A46"/>
    <mergeCell ref="B45:B46"/>
    <mergeCell ref="C45:C46"/>
    <mergeCell ref="D45:D46"/>
    <mergeCell ref="E45:E49"/>
    <mergeCell ref="G47:G49"/>
    <mergeCell ref="D42:D44"/>
    <mergeCell ref="E42:E44"/>
    <mergeCell ref="F42:F44"/>
    <mergeCell ref="G42:G44"/>
    <mergeCell ref="O43:O44"/>
    <mergeCell ref="E39:E41"/>
    <mergeCell ref="F39:F41"/>
    <mergeCell ref="G39:G41"/>
    <mergeCell ref="O40:O41"/>
    <mergeCell ref="O37:O38"/>
    <mergeCell ref="P37:P38"/>
    <mergeCell ref="Q37:Q38"/>
    <mergeCell ref="R37:R38"/>
    <mergeCell ref="A39:A41"/>
    <mergeCell ref="B39:B41"/>
    <mergeCell ref="C39:C41"/>
    <mergeCell ref="D39:D41"/>
    <mergeCell ref="G33:G34"/>
    <mergeCell ref="A35:A38"/>
    <mergeCell ref="B35:B38"/>
    <mergeCell ref="C35:C38"/>
    <mergeCell ref="D35:D38"/>
    <mergeCell ref="E35:E38"/>
    <mergeCell ref="F35:F38"/>
    <mergeCell ref="G35:G38"/>
    <mergeCell ref="P40:P41"/>
    <mergeCell ref="Q40:Q41"/>
    <mergeCell ref="R40:R41"/>
    <mergeCell ref="A33:A34"/>
    <mergeCell ref="B33:B34"/>
    <mergeCell ref="C33:C34"/>
    <mergeCell ref="D33:D34"/>
    <mergeCell ref="E33:E34"/>
    <mergeCell ref="F33:F34"/>
    <mergeCell ref="D26:D27"/>
    <mergeCell ref="E26:E27"/>
    <mergeCell ref="D28:D29"/>
    <mergeCell ref="E28:E29"/>
    <mergeCell ref="F15:F16"/>
    <mergeCell ref="G15:G16"/>
    <mergeCell ref="O15:O16"/>
    <mergeCell ref="A17:A18"/>
    <mergeCell ref="B17:B18"/>
    <mergeCell ref="C17:C18"/>
    <mergeCell ref="D17:D18"/>
    <mergeCell ref="O17:O18"/>
    <mergeCell ref="F19:F25"/>
    <mergeCell ref="G19:G25"/>
    <mergeCell ref="O19:O20"/>
    <mergeCell ref="A15:A16"/>
    <mergeCell ref="B15:B16"/>
    <mergeCell ref="C15:C16"/>
    <mergeCell ref="D15:D16"/>
    <mergeCell ref="A19:A25"/>
    <mergeCell ref="B19:B25"/>
    <mergeCell ref="C19:C25"/>
    <mergeCell ref="D19:D25"/>
    <mergeCell ref="G17:G18"/>
    <mergeCell ref="A9:R9"/>
    <mergeCell ref="I6:L6"/>
    <mergeCell ref="M6:M8"/>
    <mergeCell ref="N6:N8"/>
    <mergeCell ref="O6:R6"/>
    <mergeCell ref="F6:F8"/>
    <mergeCell ref="G6:G8"/>
    <mergeCell ref="H6:H8"/>
    <mergeCell ref="A10:R10"/>
    <mergeCell ref="B11:R11"/>
    <mergeCell ref="C12:R12"/>
    <mergeCell ref="A13:A14"/>
    <mergeCell ref="B13:B14"/>
    <mergeCell ref="C13:C14"/>
    <mergeCell ref="D13:D14"/>
    <mergeCell ref="E13:E14"/>
    <mergeCell ref="F13:F14"/>
    <mergeCell ref="G13:G14"/>
    <mergeCell ref="O13:O14"/>
    <mergeCell ref="D30:D31"/>
    <mergeCell ref="O30:O31"/>
    <mergeCell ref="E30:E31"/>
    <mergeCell ref="P13:P14"/>
    <mergeCell ref="Q13:Q14"/>
    <mergeCell ref="R13:R14"/>
    <mergeCell ref="A2:R2"/>
    <mergeCell ref="A3:R3"/>
    <mergeCell ref="A4:R4"/>
    <mergeCell ref="P5:R5"/>
    <mergeCell ref="A6:A8"/>
    <mergeCell ref="B6:B8"/>
    <mergeCell ref="C6:C8"/>
    <mergeCell ref="D6:D8"/>
    <mergeCell ref="E6:E8"/>
    <mergeCell ref="I7:I8"/>
    <mergeCell ref="J7:K7"/>
    <mergeCell ref="L7:L8"/>
    <mergeCell ref="O7:O8"/>
    <mergeCell ref="P7:R7"/>
    <mergeCell ref="E19:E25"/>
    <mergeCell ref="E15:E16"/>
    <mergeCell ref="E17:E18"/>
    <mergeCell ref="F17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4" manualBreakCount="4">
    <brk id="27" max="17" man="1"/>
    <brk id="49" max="17" man="1"/>
    <brk id="110" max="17" man="1"/>
    <brk id="129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84"/>
  <sheetViews>
    <sheetView workbookViewId="0">
      <selection activeCell="V11" sqref="V11"/>
    </sheetView>
  </sheetViews>
  <sheetFormatPr defaultRowHeight="12.75" x14ac:dyDescent="0.2"/>
  <cols>
    <col min="1" max="3" width="2.7109375" style="10" customWidth="1"/>
    <col min="4" max="4" width="29.42578125" style="10" customWidth="1"/>
    <col min="5" max="5" width="2.7109375" style="47" customWidth="1"/>
    <col min="6" max="6" width="2.7109375" style="10" customWidth="1"/>
    <col min="7" max="7" width="2.7109375" style="64" customWidth="1"/>
    <col min="8" max="8" width="7.7109375" style="90" customWidth="1"/>
    <col min="9" max="9" width="8.5703125" style="10" customWidth="1"/>
    <col min="10" max="10" width="7.42578125" style="10" customWidth="1"/>
    <col min="11" max="11" width="6.140625" style="10" customWidth="1"/>
    <col min="12" max="12" width="6.7109375" style="10" customWidth="1"/>
    <col min="13" max="13" width="8.140625" style="10" customWidth="1"/>
    <col min="14" max="14" width="7.5703125" style="10" customWidth="1"/>
    <col min="15" max="15" width="23.5703125" style="10" customWidth="1"/>
    <col min="16" max="17" width="3.7109375" style="10" customWidth="1"/>
    <col min="18" max="18" width="3.85546875" style="10" customWidth="1"/>
    <col min="19" max="16384" width="9.140625" style="5"/>
  </cols>
  <sheetData>
    <row r="1" spans="1:22" ht="15.75" x14ac:dyDescent="0.2">
      <c r="O1" s="1624" t="s">
        <v>220</v>
      </c>
      <c r="P1" s="1625"/>
      <c r="Q1" s="1625"/>
      <c r="R1" s="1625"/>
    </row>
    <row r="2" spans="1:22" ht="15.75" x14ac:dyDescent="0.2">
      <c r="A2" s="1382" t="s">
        <v>202</v>
      </c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  <c r="N2" s="1382"/>
      <c r="O2" s="1382"/>
      <c r="P2" s="1382"/>
      <c r="Q2" s="1382"/>
      <c r="R2" s="1382"/>
    </row>
    <row r="3" spans="1:22" ht="15.75" x14ac:dyDescent="0.2">
      <c r="A3" s="1383" t="s">
        <v>37</v>
      </c>
      <c r="B3" s="1383"/>
      <c r="C3" s="1383"/>
      <c r="D3" s="1383"/>
      <c r="E3" s="1383"/>
      <c r="F3" s="1383"/>
      <c r="G3" s="1383"/>
      <c r="H3" s="1383"/>
      <c r="I3" s="1383"/>
      <c r="J3" s="1383"/>
      <c r="K3" s="1383"/>
      <c r="L3" s="1383"/>
      <c r="M3" s="1383"/>
      <c r="N3" s="1383"/>
      <c r="O3" s="1383"/>
      <c r="P3" s="1383"/>
      <c r="Q3" s="1383"/>
      <c r="R3" s="1383"/>
    </row>
    <row r="4" spans="1:22" ht="15.75" x14ac:dyDescent="0.2">
      <c r="A4" s="1384" t="s">
        <v>23</v>
      </c>
      <c r="B4" s="1384"/>
      <c r="C4" s="1384"/>
      <c r="D4" s="1384"/>
      <c r="E4" s="1384"/>
      <c r="F4" s="1384"/>
      <c r="G4" s="1384"/>
      <c r="H4" s="1384"/>
      <c r="I4" s="1384"/>
      <c r="J4" s="1384"/>
      <c r="K4" s="1384"/>
      <c r="L4" s="1384"/>
      <c r="M4" s="1384"/>
      <c r="N4" s="1384"/>
      <c r="O4" s="1384"/>
      <c r="P4" s="1384"/>
      <c r="Q4" s="1384"/>
      <c r="R4" s="1384"/>
      <c r="S4" s="1"/>
      <c r="T4" s="1"/>
      <c r="U4" s="1"/>
      <c r="V4" s="1"/>
    </row>
    <row r="5" spans="1:22" ht="13.5" thickBot="1" x14ac:dyDescent="0.25">
      <c r="P5" s="1385" t="s">
        <v>0</v>
      </c>
      <c r="Q5" s="1385"/>
      <c r="R5" s="1385"/>
    </row>
    <row r="6" spans="1:22" x14ac:dyDescent="0.2">
      <c r="A6" s="1386" t="s">
        <v>24</v>
      </c>
      <c r="B6" s="1389" t="s">
        <v>1</v>
      </c>
      <c r="C6" s="1389" t="s">
        <v>2</v>
      </c>
      <c r="D6" s="1392" t="s">
        <v>16</v>
      </c>
      <c r="E6" s="1395" t="s">
        <v>3</v>
      </c>
      <c r="F6" s="1426" t="s">
        <v>189</v>
      </c>
      <c r="G6" s="1429" t="s">
        <v>4</v>
      </c>
      <c r="H6" s="1432" t="s">
        <v>5</v>
      </c>
      <c r="I6" s="1417" t="s">
        <v>141</v>
      </c>
      <c r="J6" s="1418"/>
      <c r="K6" s="1418"/>
      <c r="L6" s="1419"/>
      <c r="M6" s="1420" t="s">
        <v>33</v>
      </c>
      <c r="N6" s="1420" t="s">
        <v>142</v>
      </c>
      <c r="O6" s="1423" t="s">
        <v>15</v>
      </c>
      <c r="P6" s="1424"/>
      <c r="Q6" s="1424"/>
      <c r="R6" s="1425"/>
    </row>
    <row r="7" spans="1:22" x14ac:dyDescent="0.2">
      <c r="A7" s="1387"/>
      <c r="B7" s="1390"/>
      <c r="C7" s="1390"/>
      <c r="D7" s="1393"/>
      <c r="E7" s="1396"/>
      <c r="F7" s="1427"/>
      <c r="G7" s="1430"/>
      <c r="H7" s="1433"/>
      <c r="I7" s="1398" t="s">
        <v>6</v>
      </c>
      <c r="J7" s="1399" t="s">
        <v>7</v>
      </c>
      <c r="K7" s="1400"/>
      <c r="L7" s="1401" t="s">
        <v>22</v>
      </c>
      <c r="M7" s="1421"/>
      <c r="N7" s="1421"/>
      <c r="O7" s="1403" t="s">
        <v>16</v>
      </c>
      <c r="P7" s="1399" t="s">
        <v>8</v>
      </c>
      <c r="Q7" s="1405"/>
      <c r="R7" s="1406"/>
    </row>
    <row r="8" spans="1:22" ht="61.5" thickBot="1" x14ac:dyDescent="0.25">
      <c r="A8" s="1388"/>
      <c r="B8" s="1391"/>
      <c r="C8" s="1391"/>
      <c r="D8" s="1394"/>
      <c r="E8" s="1397"/>
      <c r="F8" s="1428"/>
      <c r="G8" s="1431"/>
      <c r="H8" s="1434"/>
      <c r="I8" s="1388"/>
      <c r="J8" s="7" t="s">
        <v>6</v>
      </c>
      <c r="K8" s="6" t="s">
        <v>17</v>
      </c>
      <c r="L8" s="1402"/>
      <c r="M8" s="1422"/>
      <c r="N8" s="1422"/>
      <c r="O8" s="1404"/>
      <c r="P8" s="8" t="s">
        <v>34</v>
      </c>
      <c r="Q8" s="8" t="s">
        <v>35</v>
      </c>
      <c r="R8" s="9" t="s">
        <v>143</v>
      </c>
    </row>
    <row r="9" spans="1:22" s="30" customFormat="1" x14ac:dyDescent="0.2">
      <c r="A9" s="1414" t="s">
        <v>135</v>
      </c>
      <c r="B9" s="1415"/>
      <c r="C9" s="1415"/>
      <c r="D9" s="1415"/>
      <c r="E9" s="1415"/>
      <c r="F9" s="1415"/>
      <c r="G9" s="1415"/>
      <c r="H9" s="1415"/>
      <c r="I9" s="1415"/>
      <c r="J9" s="1415"/>
      <c r="K9" s="1415"/>
      <c r="L9" s="1415"/>
      <c r="M9" s="1415"/>
      <c r="N9" s="1415"/>
      <c r="O9" s="1415"/>
      <c r="P9" s="1415"/>
      <c r="Q9" s="1415"/>
      <c r="R9" s="1416"/>
    </row>
    <row r="10" spans="1:22" s="30" customFormat="1" x14ac:dyDescent="0.2">
      <c r="A10" s="1435" t="s">
        <v>85</v>
      </c>
      <c r="B10" s="1436"/>
      <c r="C10" s="1436"/>
      <c r="D10" s="1436"/>
      <c r="E10" s="1436"/>
      <c r="F10" s="1436"/>
      <c r="G10" s="1436"/>
      <c r="H10" s="1436"/>
      <c r="I10" s="1436"/>
      <c r="J10" s="1436"/>
      <c r="K10" s="1436"/>
      <c r="L10" s="1436"/>
      <c r="M10" s="1436"/>
      <c r="N10" s="1436"/>
      <c r="O10" s="1436"/>
      <c r="P10" s="1436"/>
      <c r="Q10" s="1436"/>
      <c r="R10" s="1437"/>
    </row>
    <row r="11" spans="1:22" ht="25.5" x14ac:dyDescent="0.2">
      <c r="A11" s="97" t="s">
        <v>9</v>
      </c>
      <c r="B11" s="1438" t="s">
        <v>136</v>
      </c>
      <c r="C11" s="1439"/>
      <c r="D11" s="1439"/>
      <c r="E11" s="1439"/>
      <c r="F11" s="1439"/>
      <c r="G11" s="1439"/>
      <c r="H11" s="1439"/>
      <c r="I11" s="1439"/>
      <c r="J11" s="1439"/>
      <c r="K11" s="1439"/>
      <c r="L11" s="1439"/>
      <c r="M11" s="1439"/>
      <c r="N11" s="1439"/>
      <c r="O11" s="1439"/>
      <c r="P11" s="1439"/>
      <c r="Q11" s="1439"/>
      <c r="R11" s="1440"/>
    </row>
    <row r="12" spans="1:22" x14ac:dyDescent="0.2">
      <c r="A12" s="95" t="s">
        <v>9</v>
      </c>
      <c r="B12" s="96" t="s">
        <v>9</v>
      </c>
      <c r="C12" s="1441" t="s">
        <v>70</v>
      </c>
      <c r="D12" s="1442"/>
      <c r="E12" s="1442"/>
      <c r="F12" s="1442"/>
      <c r="G12" s="1442"/>
      <c r="H12" s="1442"/>
      <c r="I12" s="1442"/>
      <c r="J12" s="1442"/>
      <c r="K12" s="1442"/>
      <c r="L12" s="1442"/>
      <c r="M12" s="1442"/>
      <c r="N12" s="1442"/>
      <c r="O12" s="1442"/>
      <c r="P12" s="1442"/>
      <c r="Q12" s="1442"/>
      <c r="R12" s="1443"/>
    </row>
    <row r="13" spans="1:22" x14ac:dyDescent="0.2">
      <c r="A13" s="1444" t="s">
        <v>9</v>
      </c>
      <c r="B13" s="1445" t="s">
        <v>9</v>
      </c>
      <c r="C13" s="1446" t="s">
        <v>9</v>
      </c>
      <c r="D13" s="1447" t="s">
        <v>112</v>
      </c>
      <c r="E13" s="1448"/>
      <c r="F13" s="1449" t="s">
        <v>44</v>
      </c>
      <c r="G13" s="1413" t="s">
        <v>40</v>
      </c>
      <c r="H13" s="134" t="s">
        <v>36</v>
      </c>
      <c r="I13" s="316">
        <f>J13+L13</f>
        <v>979.7</v>
      </c>
      <c r="J13" s="219">
        <f>949.7-99.9</f>
        <v>849.8</v>
      </c>
      <c r="K13" s="219"/>
      <c r="L13" s="243">
        <f>30+99.9</f>
        <v>129.9</v>
      </c>
      <c r="M13" s="317">
        <v>1841.4</v>
      </c>
      <c r="N13" s="45">
        <v>826.4</v>
      </c>
      <c r="O13" s="1450"/>
      <c r="P13" s="1378"/>
      <c r="Q13" s="1378"/>
      <c r="R13" s="1380"/>
    </row>
    <row r="14" spans="1:22" x14ac:dyDescent="0.2">
      <c r="A14" s="1444"/>
      <c r="B14" s="1445"/>
      <c r="C14" s="1446"/>
      <c r="D14" s="1447"/>
      <c r="E14" s="1448"/>
      <c r="F14" s="1449"/>
      <c r="G14" s="1413"/>
      <c r="H14" s="134"/>
      <c r="I14" s="316"/>
      <c r="J14" s="219"/>
      <c r="K14" s="219"/>
      <c r="L14" s="243"/>
      <c r="M14" s="81"/>
      <c r="N14" s="69"/>
      <c r="O14" s="1451"/>
      <c r="P14" s="1379"/>
      <c r="Q14" s="1379"/>
      <c r="R14" s="1381"/>
    </row>
    <row r="15" spans="1:22" x14ac:dyDescent="0.2">
      <c r="A15" s="1444"/>
      <c r="B15" s="1445"/>
      <c r="C15" s="1446"/>
      <c r="D15" s="1469" t="s">
        <v>46</v>
      </c>
      <c r="E15" s="1410"/>
      <c r="F15" s="1459"/>
      <c r="G15" s="1461"/>
      <c r="H15" s="134"/>
      <c r="I15" s="318"/>
      <c r="J15" s="219"/>
      <c r="K15" s="219"/>
      <c r="L15" s="243"/>
      <c r="M15" s="317"/>
      <c r="N15" s="45"/>
      <c r="O15" s="1463" t="s">
        <v>97</v>
      </c>
      <c r="P15" s="112">
        <v>3.5</v>
      </c>
      <c r="Q15" s="112">
        <v>3.4</v>
      </c>
      <c r="R15" s="113">
        <v>3.5</v>
      </c>
    </row>
    <row r="16" spans="1:22" x14ac:dyDescent="0.2">
      <c r="A16" s="1444"/>
      <c r="B16" s="1445"/>
      <c r="C16" s="1446"/>
      <c r="D16" s="1470"/>
      <c r="E16" s="1411"/>
      <c r="F16" s="1460"/>
      <c r="G16" s="1462"/>
      <c r="H16" s="319"/>
      <c r="I16" s="320"/>
      <c r="J16" s="321"/>
      <c r="K16" s="321"/>
      <c r="L16" s="322"/>
      <c r="M16" s="323"/>
      <c r="N16" s="324"/>
      <c r="O16" s="1451"/>
      <c r="P16" s="59"/>
      <c r="Q16" s="59"/>
      <c r="R16" s="143"/>
      <c r="S16" s="14"/>
      <c r="U16" s="13"/>
    </row>
    <row r="17" spans="1:28" x14ac:dyDescent="0.2">
      <c r="A17" s="1444"/>
      <c r="B17" s="1445"/>
      <c r="C17" s="1446"/>
      <c r="D17" s="1464" t="s">
        <v>47</v>
      </c>
      <c r="E17" s="1408"/>
      <c r="F17" s="1412"/>
      <c r="G17" s="1413"/>
      <c r="H17" s="312"/>
      <c r="I17" s="318"/>
      <c r="J17" s="219"/>
      <c r="K17" s="219"/>
      <c r="L17" s="243"/>
      <c r="M17" s="325"/>
      <c r="N17" s="326"/>
      <c r="O17" s="1465" t="s">
        <v>49</v>
      </c>
      <c r="P17" s="657">
        <v>5</v>
      </c>
      <c r="Q17" s="657">
        <v>5</v>
      </c>
      <c r="R17" s="659">
        <v>5</v>
      </c>
    </row>
    <row r="18" spans="1:28" x14ac:dyDescent="0.2">
      <c r="A18" s="1444"/>
      <c r="B18" s="1445"/>
      <c r="C18" s="1446"/>
      <c r="D18" s="1464"/>
      <c r="E18" s="1408"/>
      <c r="F18" s="1412"/>
      <c r="G18" s="1413"/>
      <c r="H18" s="319"/>
      <c r="I18" s="320"/>
      <c r="J18" s="321"/>
      <c r="K18" s="321"/>
      <c r="L18" s="322"/>
      <c r="M18" s="323"/>
      <c r="N18" s="324"/>
      <c r="O18" s="1466"/>
      <c r="P18" s="657"/>
      <c r="Q18" s="657"/>
      <c r="R18" s="659"/>
    </row>
    <row r="19" spans="1:28" x14ac:dyDescent="0.2">
      <c r="A19" s="1444"/>
      <c r="B19" s="1445"/>
      <c r="C19" s="1446"/>
      <c r="D19" s="1469" t="s">
        <v>48</v>
      </c>
      <c r="E19" s="1407"/>
      <c r="F19" s="1467"/>
      <c r="G19" s="1461"/>
      <c r="H19" s="312"/>
      <c r="I19" s="318"/>
      <c r="J19" s="219"/>
      <c r="K19" s="219"/>
      <c r="L19" s="243"/>
      <c r="M19" s="325"/>
      <c r="N19" s="326"/>
      <c r="O19" s="1465" t="s">
        <v>113</v>
      </c>
      <c r="P19" s="509">
        <v>4</v>
      </c>
      <c r="Q19" s="509">
        <v>4</v>
      </c>
      <c r="R19" s="508">
        <v>4</v>
      </c>
    </row>
    <row r="20" spans="1:28" x14ac:dyDescent="0.2">
      <c r="A20" s="1444"/>
      <c r="B20" s="1445"/>
      <c r="C20" s="1446"/>
      <c r="D20" s="1464"/>
      <c r="E20" s="1408"/>
      <c r="F20" s="1412"/>
      <c r="G20" s="1413"/>
      <c r="H20" s="312"/>
      <c r="I20" s="318"/>
      <c r="J20" s="219"/>
      <c r="K20" s="219"/>
      <c r="L20" s="243"/>
      <c r="M20" s="325"/>
      <c r="N20" s="326"/>
      <c r="O20" s="1468"/>
      <c r="P20" s="657"/>
      <c r="Q20" s="657"/>
      <c r="R20" s="659"/>
    </row>
    <row r="21" spans="1:28" ht="25.5" x14ac:dyDescent="0.2">
      <c r="A21" s="1444"/>
      <c r="B21" s="1445"/>
      <c r="C21" s="1446"/>
      <c r="D21" s="1464"/>
      <c r="E21" s="1408"/>
      <c r="F21" s="1412"/>
      <c r="G21" s="1413"/>
      <c r="H21" s="312"/>
      <c r="I21" s="318"/>
      <c r="J21" s="219"/>
      <c r="K21" s="219"/>
      <c r="L21" s="243"/>
      <c r="M21" s="325"/>
      <c r="N21" s="326"/>
      <c r="O21" s="631" t="s">
        <v>147</v>
      </c>
      <c r="P21" s="657">
        <v>20</v>
      </c>
      <c r="Q21" s="657"/>
      <c r="R21" s="659"/>
    </row>
    <row r="22" spans="1:28" x14ac:dyDescent="0.2">
      <c r="A22" s="1444"/>
      <c r="B22" s="1445"/>
      <c r="C22" s="1446"/>
      <c r="D22" s="1464"/>
      <c r="E22" s="1408"/>
      <c r="F22" s="1412"/>
      <c r="G22" s="1413"/>
      <c r="H22" s="312"/>
      <c r="I22" s="318"/>
      <c r="J22" s="219"/>
      <c r="K22" s="219"/>
      <c r="L22" s="243"/>
      <c r="M22" s="325"/>
      <c r="N22" s="326"/>
      <c r="O22" s="17" t="s">
        <v>140</v>
      </c>
      <c r="P22" s="657">
        <v>1</v>
      </c>
      <c r="Q22" s="657">
        <v>1</v>
      </c>
      <c r="R22" s="659">
        <v>1</v>
      </c>
    </row>
    <row r="23" spans="1:28" x14ac:dyDescent="0.2">
      <c r="A23" s="1444"/>
      <c r="B23" s="1445"/>
      <c r="C23" s="1446"/>
      <c r="D23" s="1464"/>
      <c r="E23" s="1408"/>
      <c r="F23" s="1412"/>
      <c r="G23" s="1413"/>
      <c r="H23" s="312"/>
      <c r="I23" s="318"/>
      <c r="J23" s="219"/>
      <c r="K23" s="219"/>
      <c r="L23" s="243"/>
      <c r="M23" s="313"/>
      <c r="N23" s="314"/>
      <c r="O23" s="17" t="s">
        <v>50</v>
      </c>
      <c r="P23" s="657">
        <v>44</v>
      </c>
      <c r="Q23" s="657">
        <v>30</v>
      </c>
      <c r="R23" s="659">
        <v>30</v>
      </c>
    </row>
    <row r="24" spans="1:28" x14ac:dyDescent="0.2">
      <c r="A24" s="1444"/>
      <c r="B24" s="1445"/>
      <c r="C24" s="1446"/>
      <c r="D24" s="1464"/>
      <c r="E24" s="1408"/>
      <c r="F24" s="1412"/>
      <c r="G24" s="1413"/>
      <c r="H24" s="312"/>
      <c r="I24" s="318"/>
      <c r="J24" s="219"/>
      <c r="K24" s="219"/>
      <c r="L24" s="243"/>
      <c r="M24" s="313"/>
      <c r="N24" s="314"/>
      <c r="O24" s="17" t="s">
        <v>51</v>
      </c>
      <c r="P24" s="657">
        <v>8</v>
      </c>
      <c r="Q24" s="657">
        <v>10</v>
      </c>
      <c r="R24" s="659">
        <v>10</v>
      </c>
    </row>
    <row r="25" spans="1:28" x14ac:dyDescent="0.2">
      <c r="A25" s="1444"/>
      <c r="B25" s="1445"/>
      <c r="C25" s="1446"/>
      <c r="D25" s="1464"/>
      <c r="E25" s="1409"/>
      <c r="F25" s="1412"/>
      <c r="G25" s="1413"/>
      <c r="H25" s="319"/>
      <c r="I25" s="320"/>
      <c r="J25" s="321"/>
      <c r="K25" s="321"/>
      <c r="L25" s="322"/>
      <c r="M25" s="323"/>
      <c r="N25" s="324"/>
      <c r="O25" s="61" t="s">
        <v>52</v>
      </c>
      <c r="P25" s="669">
        <v>28</v>
      </c>
      <c r="Q25" s="669">
        <v>30</v>
      </c>
      <c r="R25" s="670">
        <v>30</v>
      </c>
    </row>
    <row r="26" spans="1:28" ht="25.5" x14ac:dyDescent="0.2">
      <c r="A26" s="94"/>
      <c r="B26" s="637"/>
      <c r="C26" s="648"/>
      <c r="D26" s="1452" t="s">
        <v>201</v>
      </c>
      <c r="E26" s="1407" t="s">
        <v>171</v>
      </c>
      <c r="F26" s="667"/>
      <c r="G26" s="84"/>
      <c r="H26" s="327"/>
      <c r="I26" s="318"/>
      <c r="J26" s="219"/>
      <c r="K26" s="321"/>
      <c r="L26" s="322"/>
      <c r="M26" s="313"/>
      <c r="N26" s="324"/>
      <c r="O26" s="206" t="s">
        <v>186</v>
      </c>
      <c r="P26" s="207">
        <v>1</v>
      </c>
      <c r="Q26" s="199">
        <v>1</v>
      </c>
      <c r="R26" s="85"/>
      <c r="AA26" s="14"/>
      <c r="AB26" s="14"/>
    </row>
    <row r="27" spans="1:28" ht="13.5" thickBot="1" x14ac:dyDescent="0.25">
      <c r="A27" s="98"/>
      <c r="B27" s="645"/>
      <c r="C27" s="649"/>
      <c r="D27" s="1453"/>
      <c r="E27" s="1454"/>
      <c r="F27" s="654"/>
      <c r="G27" s="92"/>
      <c r="H27" s="602"/>
      <c r="I27" s="603"/>
      <c r="J27" s="343"/>
      <c r="K27" s="565"/>
      <c r="L27" s="569"/>
      <c r="M27" s="604"/>
      <c r="N27" s="570"/>
      <c r="O27" s="18" t="s">
        <v>187</v>
      </c>
      <c r="P27" s="605">
        <v>100</v>
      </c>
      <c r="Q27" s="86">
        <v>100</v>
      </c>
      <c r="R27" s="87"/>
      <c r="AA27" s="14"/>
      <c r="AB27" s="14"/>
    </row>
    <row r="28" spans="1:28" x14ac:dyDescent="0.2">
      <c r="A28" s="363"/>
      <c r="B28" s="644"/>
      <c r="C28" s="647"/>
      <c r="D28" s="1455" t="s">
        <v>190</v>
      </c>
      <c r="E28" s="1457" t="s">
        <v>171</v>
      </c>
      <c r="F28" s="653"/>
      <c r="G28" s="91"/>
      <c r="H28" s="571" t="s">
        <v>94</v>
      </c>
      <c r="I28" s="266">
        <f>J28</f>
        <v>150</v>
      </c>
      <c r="J28" s="268">
        <v>150</v>
      </c>
      <c r="K28" s="572"/>
      <c r="L28" s="573"/>
      <c r="M28" s="606">
        <v>100</v>
      </c>
      <c r="N28" s="607"/>
      <c r="O28" s="608" t="s">
        <v>163</v>
      </c>
      <c r="P28" s="609">
        <v>1</v>
      </c>
      <c r="Q28" s="656"/>
      <c r="R28" s="574"/>
      <c r="S28" s="141"/>
      <c r="AA28" s="14"/>
      <c r="AB28" s="14"/>
    </row>
    <row r="29" spans="1:28" x14ac:dyDescent="0.2">
      <c r="A29" s="94"/>
      <c r="B29" s="637"/>
      <c r="C29" s="648"/>
      <c r="D29" s="1456"/>
      <c r="E29" s="1458"/>
      <c r="F29" s="640"/>
      <c r="G29" s="84"/>
      <c r="H29" s="411"/>
      <c r="I29" s="412"/>
      <c r="J29" s="408"/>
      <c r="K29" s="408"/>
      <c r="L29" s="409"/>
      <c r="M29" s="413"/>
      <c r="N29" s="410"/>
      <c r="O29" s="77" t="s">
        <v>162</v>
      </c>
      <c r="P29" s="198">
        <v>50</v>
      </c>
      <c r="Q29" s="669">
        <v>50</v>
      </c>
      <c r="R29" s="116"/>
      <c r="AA29" s="14"/>
      <c r="AB29" s="14"/>
    </row>
    <row r="30" spans="1:28" x14ac:dyDescent="0.2">
      <c r="A30" s="94"/>
      <c r="B30" s="637"/>
      <c r="C30" s="648"/>
      <c r="D30" s="1372" t="s">
        <v>210</v>
      </c>
      <c r="E30" s="1376" t="s">
        <v>212</v>
      </c>
      <c r="F30" s="538"/>
      <c r="G30" s="539" t="s">
        <v>90</v>
      </c>
      <c r="H30" s="540" t="s">
        <v>36</v>
      </c>
      <c r="I30" s="541">
        <f>J30</f>
        <v>200</v>
      </c>
      <c r="J30" s="377">
        <v>200</v>
      </c>
      <c r="K30" s="542"/>
      <c r="L30" s="543"/>
      <c r="M30" s="544"/>
      <c r="N30" s="545"/>
      <c r="O30" s="1374" t="s">
        <v>211</v>
      </c>
      <c r="P30" s="551">
        <v>0.33</v>
      </c>
      <c r="Q30" s="546"/>
      <c r="R30" s="85"/>
      <c r="AA30" s="14"/>
      <c r="AB30" s="14"/>
    </row>
    <row r="31" spans="1:28" x14ac:dyDescent="0.2">
      <c r="A31" s="94"/>
      <c r="B31" s="637"/>
      <c r="C31" s="648"/>
      <c r="D31" s="1373"/>
      <c r="E31" s="1377"/>
      <c r="F31" s="547"/>
      <c r="G31" s="539"/>
      <c r="H31" s="548"/>
      <c r="I31" s="549"/>
      <c r="J31" s="542"/>
      <c r="K31" s="542"/>
      <c r="L31" s="543"/>
      <c r="M31" s="544"/>
      <c r="N31" s="545"/>
      <c r="O31" s="1375"/>
      <c r="P31" s="552"/>
      <c r="Q31" s="546"/>
      <c r="R31" s="85"/>
      <c r="AA31" s="14"/>
      <c r="AB31" s="14"/>
    </row>
    <row r="32" spans="1:28" ht="26.25" thickBot="1" x14ac:dyDescent="0.25">
      <c r="A32" s="621"/>
      <c r="B32" s="645"/>
      <c r="C32" s="649"/>
      <c r="D32" s="626"/>
      <c r="E32" s="652"/>
      <c r="F32" s="654"/>
      <c r="G32" s="617"/>
      <c r="H32" s="277" t="s">
        <v>10</v>
      </c>
      <c r="I32" s="536" t="s">
        <v>213</v>
      </c>
      <c r="J32" s="550" t="s">
        <v>214</v>
      </c>
      <c r="K32" s="237">
        <f>K13</f>
        <v>0</v>
      </c>
      <c r="L32" s="238">
        <f>L13</f>
        <v>129.9</v>
      </c>
      <c r="M32" s="242">
        <f>M13+M28</f>
        <v>1941.4</v>
      </c>
      <c r="N32" s="236">
        <f>N13</f>
        <v>826.4</v>
      </c>
      <c r="O32" s="331"/>
      <c r="P32" s="553"/>
      <c r="Q32" s="86"/>
      <c r="R32" s="87"/>
      <c r="AA32" s="14"/>
      <c r="AB32" s="14"/>
    </row>
    <row r="33" spans="1:18" x14ac:dyDescent="0.2">
      <c r="A33" s="1444" t="s">
        <v>9</v>
      </c>
      <c r="B33" s="1445" t="s">
        <v>9</v>
      </c>
      <c r="C33" s="1446" t="s">
        <v>11</v>
      </c>
      <c r="D33" s="1447" t="s">
        <v>114</v>
      </c>
      <c r="E33" s="1408"/>
      <c r="F33" s="1412" t="s">
        <v>54</v>
      </c>
      <c r="G33" s="1413" t="s">
        <v>40</v>
      </c>
      <c r="H33" s="16" t="s">
        <v>36</v>
      </c>
      <c r="I33" s="246">
        <f>J33+L33</f>
        <v>6410.1</v>
      </c>
      <c r="J33" s="219">
        <v>6405.6</v>
      </c>
      <c r="K33" s="219"/>
      <c r="L33" s="220">
        <v>4.5</v>
      </c>
      <c r="M33" s="338">
        <f>7481+130</f>
        <v>7611</v>
      </c>
      <c r="N33" s="106">
        <f>7481+130</f>
        <v>7611</v>
      </c>
      <c r="O33" s="330"/>
      <c r="P33" s="662"/>
      <c r="Q33" s="662"/>
      <c r="R33" s="664"/>
    </row>
    <row r="34" spans="1:18" x14ac:dyDescent="0.2">
      <c r="A34" s="1444"/>
      <c r="B34" s="1445"/>
      <c r="C34" s="1446"/>
      <c r="D34" s="1480"/>
      <c r="E34" s="1408"/>
      <c r="F34" s="1412"/>
      <c r="G34" s="1413"/>
      <c r="H34" s="332" t="s">
        <v>61</v>
      </c>
      <c r="I34" s="246">
        <f>J34+L34</f>
        <v>3.5</v>
      </c>
      <c r="J34" s="219">
        <v>3.5</v>
      </c>
      <c r="K34" s="219"/>
      <c r="L34" s="220"/>
      <c r="M34" s="326">
        <v>3.5</v>
      </c>
      <c r="N34" s="337">
        <v>3.5</v>
      </c>
      <c r="O34" s="17"/>
      <c r="P34" s="662"/>
      <c r="Q34" s="662"/>
      <c r="R34" s="664"/>
    </row>
    <row r="35" spans="1:18" ht="15.75" x14ac:dyDescent="0.2">
      <c r="A35" s="1444"/>
      <c r="B35" s="1445"/>
      <c r="C35" s="1446"/>
      <c r="D35" s="1477" t="s">
        <v>191</v>
      </c>
      <c r="E35" s="1407"/>
      <c r="F35" s="1467" t="s">
        <v>41</v>
      </c>
      <c r="G35" s="1461"/>
      <c r="H35" s="16"/>
      <c r="I35" s="246"/>
      <c r="J35" s="219"/>
      <c r="K35" s="219"/>
      <c r="L35" s="220"/>
      <c r="M35" s="45"/>
      <c r="N35" s="106"/>
      <c r="O35" s="60" t="s">
        <v>148</v>
      </c>
      <c r="P35" s="661">
        <v>3.7</v>
      </c>
      <c r="Q35" s="661">
        <v>3.7</v>
      </c>
      <c r="R35" s="663">
        <v>3.7</v>
      </c>
    </row>
    <row r="36" spans="1:18" ht="15.75" x14ac:dyDescent="0.2">
      <c r="A36" s="1444"/>
      <c r="B36" s="1445"/>
      <c r="C36" s="1446"/>
      <c r="D36" s="1476"/>
      <c r="E36" s="1408"/>
      <c r="F36" s="1412"/>
      <c r="G36" s="1413"/>
      <c r="H36" s="332"/>
      <c r="I36" s="246"/>
      <c r="J36" s="219"/>
      <c r="K36" s="219"/>
      <c r="L36" s="220"/>
      <c r="M36" s="69"/>
      <c r="N36" s="103"/>
      <c r="O36" s="17" t="s">
        <v>193</v>
      </c>
      <c r="P36" s="662">
        <v>2.5</v>
      </c>
      <c r="Q36" s="662">
        <v>2.5</v>
      </c>
      <c r="R36" s="664">
        <v>2.5</v>
      </c>
    </row>
    <row r="37" spans="1:18" x14ac:dyDescent="0.2">
      <c r="A37" s="1444"/>
      <c r="B37" s="1445"/>
      <c r="C37" s="1446"/>
      <c r="D37" s="1476"/>
      <c r="E37" s="1408"/>
      <c r="F37" s="1412"/>
      <c r="G37" s="1413"/>
      <c r="H37" s="332"/>
      <c r="I37" s="246"/>
      <c r="J37" s="219"/>
      <c r="K37" s="219"/>
      <c r="L37" s="220"/>
      <c r="M37" s="35"/>
      <c r="N37" s="175"/>
      <c r="O37" s="1468" t="s">
        <v>98</v>
      </c>
      <c r="P37" s="1472">
        <v>20</v>
      </c>
      <c r="Q37" s="1472">
        <v>20</v>
      </c>
      <c r="R37" s="1474">
        <v>20</v>
      </c>
    </row>
    <row r="38" spans="1:18" x14ac:dyDescent="0.2">
      <c r="A38" s="1444"/>
      <c r="B38" s="1445"/>
      <c r="C38" s="1446"/>
      <c r="D38" s="1478"/>
      <c r="E38" s="1409"/>
      <c r="F38" s="1479"/>
      <c r="G38" s="1462"/>
      <c r="H38" s="334"/>
      <c r="I38" s="335"/>
      <c r="J38" s="321"/>
      <c r="K38" s="321"/>
      <c r="L38" s="336"/>
      <c r="M38" s="324"/>
      <c r="N38" s="329"/>
      <c r="O38" s="1471"/>
      <c r="P38" s="1473"/>
      <c r="Q38" s="1473"/>
      <c r="R38" s="1475"/>
    </row>
    <row r="39" spans="1:18" ht="25.5" x14ac:dyDescent="0.2">
      <c r="A39" s="1444"/>
      <c r="B39" s="1445"/>
      <c r="C39" s="1446"/>
      <c r="D39" s="1476" t="s">
        <v>56</v>
      </c>
      <c r="E39" s="1408"/>
      <c r="F39" s="1412"/>
      <c r="G39" s="1413"/>
      <c r="H39" s="332"/>
      <c r="I39" s="246"/>
      <c r="J39" s="219"/>
      <c r="K39" s="219"/>
      <c r="L39" s="220"/>
      <c r="M39" s="326"/>
      <c r="N39" s="337"/>
      <c r="O39" s="631" t="s">
        <v>58</v>
      </c>
      <c r="P39" s="657">
        <v>44</v>
      </c>
      <c r="Q39" s="657">
        <v>44</v>
      </c>
      <c r="R39" s="659">
        <v>44</v>
      </c>
    </row>
    <row r="40" spans="1:18" x14ac:dyDescent="0.2">
      <c r="A40" s="1444"/>
      <c r="B40" s="1445"/>
      <c r="C40" s="1446"/>
      <c r="D40" s="1476"/>
      <c r="E40" s="1408"/>
      <c r="F40" s="1412"/>
      <c r="G40" s="1413"/>
      <c r="H40" s="332"/>
      <c r="I40" s="246"/>
      <c r="J40" s="219"/>
      <c r="K40" s="219"/>
      <c r="L40" s="220"/>
      <c r="M40" s="314"/>
      <c r="N40" s="328"/>
      <c r="O40" s="1468" t="s">
        <v>194</v>
      </c>
      <c r="P40" s="1472">
        <v>387</v>
      </c>
      <c r="Q40" s="1472">
        <v>387</v>
      </c>
      <c r="R40" s="1474">
        <v>387</v>
      </c>
    </row>
    <row r="41" spans="1:18" x14ac:dyDescent="0.2">
      <c r="A41" s="1444"/>
      <c r="B41" s="1445"/>
      <c r="C41" s="1446"/>
      <c r="D41" s="1476"/>
      <c r="E41" s="1408"/>
      <c r="F41" s="1412"/>
      <c r="G41" s="1413"/>
      <c r="H41" s="407"/>
      <c r="I41" s="414"/>
      <c r="J41" s="408"/>
      <c r="K41" s="408"/>
      <c r="L41" s="415"/>
      <c r="M41" s="410"/>
      <c r="N41" s="416"/>
      <c r="O41" s="1468"/>
      <c r="P41" s="1473"/>
      <c r="Q41" s="1473"/>
      <c r="R41" s="1475"/>
    </row>
    <row r="42" spans="1:18" ht="25.5" x14ac:dyDescent="0.2">
      <c r="A42" s="620"/>
      <c r="B42" s="637"/>
      <c r="C42" s="648"/>
      <c r="D42" s="1477" t="s">
        <v>99</v>
      </c>
      <c r="E42" s="1407"/>
      <c r="F42" s="1467"/>
      <c r="G42" s="1461"/>
      <c r="H42" s="16" t="s">
        <v>36</v>
      </c>
      <c r="I42" s="246">
        <f>J42+L42</f>
        <v>114.5</v>
      </c>
      <c r="J42" s="219">
        <v>114.5</v>
      </c>
      <c r="K42" s="219"/>
      <c r="L42" s="220"/>
      <c r="M42" s="45"/>
      <c r="N42" s="106"/>
      <c r="O42" s="114" t="s">
        <v>149</v>
      </c>
      <c r="P42" s="115">
        <v>2.5</v>
      </c>
      <c r="Q42" s="67">
        <v>3</v>
      </c>
      <c r="R42" s="68">
        <v>3</v>
      </c>
    </row>
    <row r="43" spans="1:18" x14ac:dyDescent="0.2">
      <c r="A43" s="620"/>
      <c r="B43" s="637"/>
      <c r="C43" s="648"/>
      <c r="D43" s="1476"/>
      <c r="E43" s="1408"/>
      <c r="F43" s="1412"/>
      <c r="G43" s="1413"/>
      <c r="H43" s="145" t="s">
        <v>181</v>
      </c>
      <c r="I43" s="215">
        <f>J43+L43</f>
        <v>15</v>
      </c>
      <c r="J43" s="216">
        <v>15</v>
      </c>
      <c r="K43" s="216"/>
      <c r="L43" s="217"/>
      <c r="M43" s="65"/>
      <c r="N43" s="105"/>
      <c r="O43" s="1465" t="s">
        <v>101</v>
      </c>
      <c r="P43" s="333">
        <v>1</v>
      </c>
      <c r="Q43" s="509">
        <v>1</v>
      </c>
      <c r="R43" s="508">
        <v>1</v>
      </c>
    </row>
    <row r="44" spans="1:18" ht="13.5" thickBot="1" x14ac:dyDescent="0.25">
      <c r="A44" s="94"/>
      <c r="B44" s="637"/>
      <c r="C44" s="648"/>
      <c r="D44" s="1476"/>
      <c r="E44" s="1408"/>
      <c r="F44" s="1412"/>
      <c r="G44" s="1413"/>
      <c r="H44" s="279" t="s">
        <v>10</v>
      </c>
      <c r="I44" s="226">
        <f>I42+I34+I33+I43</f>
        <v>6543.1</v>
      </c>
      <c r="J44" s="226">
        <f>J42+J34+J33+J43</f>
        <v>6538.6</v>
      </c>
      <c r="K44" s="226">
        <f>K42+K34+K33</f>
        <v>0</v>
      </c>
      <c r="L44" s="275">
        <f>L42+L34+L33</f>
        <v>4.5</v>
      </c>
      <c r="M44" s="276">
        <f>M42+M34+M33</f>
        <v>7614.5</v>
      </c>
      <c r="N44" s="226">
        <f>N42+N34+N33</f>
        <v>7614.5</v>
      </c>
      <c r="O44" s="1481"/>
      <c r="P44" s="655"/>
      <c r="Q44" s="657"/>
      <c r="R44" s="659"/>
    </row>
    <row r="45" spans="1:18" x14ac:dyDescent="0.2">
      <c r="A45" s="1489" t="s">
        <v>9</v>
      </c>
      <c r="B45" s="1490" t="s">
        <v>9</v>
      </c>
      <c r="C45" s="1491" t="s">
        <v>38</v>
      </c>
      <c r="D45" s="1492" t="s">
        <v>115</v>
      </c>
      <c r="E45" s="1494" t="s">
        <v>170</v>
      </c>
      <c r="F45" s="1482" t="s">
        <v>41</v>
      </c>
      <c r="G45" s="1483" t="s">
        <v>40</v>
      </c>
      <c r="H45" s="15" t="s">
        <v>36</v>
      </c>
      <c r="I45" s="228">
        <f>J45+L45</f>
        <v>1355.2</v>
      </c>
      <c r="J45" s="228">
        <f>1292.2+10</f>
        <v>1302.2</v>
      </c>
      <c r="K45" s="228">
        <v>710.7</v>
      </c>
      <c r="L45" s="381">
        <f>63-10</f>
        <v>53</v>
      </c>
      <c r="M45" s="383">
        <v>1592.1</v>
      </c>
      <c r="N45" s="341">
        <v>1146.0999999999999</v>
      </c>
      <c r="O45" s="618"/>
      <c r="P45" s="126"/>
      <c r="Q45" s="126"/>
      <c r="R45" s="37"/>
    </row>
    <row r="46" spans="1:18" x14ac:dyDescent="0.2">
      <c r="A46" s="1444"/>
      <c r="B46" s="1445"/>
      <c r="C46" s="1446"/>
      <c r="D46" s="1493"/>
      <c r="E46" s="1408"/>
      <c r="F46" s="1412"/>
      <c r="G46" s="1413"/>
      <c r="H46" s="16" t="s">
        <v>61</v>
      </c>
      <c r="I46" s="246">
        <f>J46+L46</f>
        <v>116.2</v>
      </c>
      <c r="J46" s="246">
        <v>116.2</v>
      </c>
      <c r="K46" s="246">
        <v>31.7</v>
      </c>
      <c r="L46" s="376">
        <f>L51+L53+L56</f>
        <v>0</v>
      </c>
      <c r="M46" s="314">
        <v>115.8</v>
      </c>
      <c r="N46" s="328">
        <v>115.8</v>
      </c>
      <c r="O46" s="631"/>
      <c r="P46" s="662"/>
      <c r="Q46" s="662"/>
      <c r="R46" s="664"/>
    </row>
    <row r="47" spans="1:18" x14ac:dyDescent="0.2">
      <c r="A47" s="1444"/>
      <c r="B47" s="1445"/>
      <c r="C47" s="1446"/>
      <c r="D47" s="1477" t="s">
        <v>164</v>
      </c>
      <c r="E47" s="1495"/>
      <c r="F47" s="1412"/>
      <c r="G47" s="1413"/>
      <c r="H47" s="16"/>
      <c r="I47" s="246"/>
      <c r="J47" s="219"/>
      <c r="K47" s="219"/>
      <c r="L47" s="220"/>
      <c r="M47" s="45"/>
      <c r="N47" s="106"/>
      <c r="O47" s="60" t="s">
        <v>86</v>
      </c>
      <c r="P47" s="661">
        <v>0.2</v>
      </c>
      <c r="Q47" s="661">
        <v>0.2</v>
      </c>
      <c r="R47" s="663">
        <v>0.2</v>
      </c>
    </row>
    <row r="48" spans="1:18" x14ac:dyDescent="0.2">
      <c r="A48" s="1444"/>
      <c r="B48" s="1445"/>
      <c r="C48" s="1446"/>
      <c r="D48" s="1476"/>
      <c r="E48" s="1495"/>
      <c r="F48" s="1412"/>
      <c r="G48" s="1413"/>
      <c r="H48" s="16"/>
      <c r="I48" s="246"/>
      <c r="J48" s="219"/>
      <c r="K48" s="219"/>
      <c r="L48" s="220"/>
      <c r="M48" s="45"/>
      <c r="N48" s="106"/>
      <c r="O48" s="1468" t="s">
        <v>87</v>
      </c>
      <c r="P48" s="662">
        <v>0.1</v>
      </c>
      <c r="Q48" s="662">
        <v>0.1</v>
      </c>
      <c r="R48" s="664">
        <v>0.1</v>
      </c>
    </row>
    <row r="49" spans="1:21" ht="13.5" thickBot="1" x14ac:dyDescent="0.25">
      <c r="A49" s="1484"/>
      <c r="B49" s="1485"/>
      <c r="C49" s="1486"/>
      <c r="D49" s="1487"/>
      <c r="E49" s="1496"/>
      <c r="F49" s="1488"/>
      <c r="G49" s="1497"/>
      <c r="H49" s="564"/>
      <c r="I49" s="270"/>
      <c r="J49" s="565"/>
      <c r="K49" s="565"/>
      <c r="L49" s="566"/>
      <c r="M49" s="567"/>
      <c r="N49" s="568"/>
      <c r="O49" s="1498"/>
      <c r="P49" s="507"/>
      <c r="Q49" s="507"/>
      <c r="R49" s="506"/>
    </row>
    <row r="50" spans="1:21" x14ac:dyDescent="0.2">
      <c r="A50" s="1489"/>
      <c r="B50" s="1490"/>
      <c r="C50" s="1491"/>
      <c r="D50" s="1499" t="s">
        <v>59</v>
      </c>
      <c r="E50" s="1494"/>
      <c r="F50" s="1482"/>
      <c r="G50" s="1483"/>
      <c r="H50" s="339"/>
      <c r="I50" s="340"/>
      <c r="J50" s="268"/>
      <c r="K50" s="268"/>
      <c r="L50" s="269"/>
      <c r="M50" s="338"/>
      <c r="N50" s="563"/>
      <c r="O50" s="1502" t="s">
        <v>60</v>
      </c>
      <c r="P50" s="656">
        <v>3</v>
      </c>
      <c r="Q50" s="656">
        <v>3</v>
      </c>
      <c r="R50" s="658">
        <v>3</v>
      </c>
    </row>
    <row r="51" spans="1:21" x14ac:dyDescent="0.2">
      <c r="A51" s="1444"/>
      <c r="B51" s="1445"/>
      <c r="C51" s="1446"/>
      <c r="D51" s="1476"/>
      <c r="E51" s="1408"/>
      <c r="F51" s="1412"/>
      <c r="G51" s="1413"/>
      <c r="H51" s="16"/>
      <c r="I51" s="246"/>
      <c r="J51" s="219"/>
      <c r="K51" s="219"/>
      <c r="L51" s="220"/>
      <c r="M51" s="45"/>
      <c r="N51" s="106"/>
      <c r="O51" s="1468"/>
      <c r="P51" s="657"/>
      <c r="Q51" s="657"/>
      <c r="R51" s="659"/>
    </row>
    <row r="52" spans="1:21" x14ac:dyDescent="0.2">
      <c r="A52" s="1444"/>
      <c r="B52" s="1445"/>
      <c r="C52" s="1446"/>
      <c r="D52" s="1477" t="s">
        <v>144</v>
      </c>
      <c r="E52" s="1408"/>
      <c r="F52" s="1412"/>
      <c r="G52" s="1413"/>
      <c r="H52" s="16"/>
      <c r="I52" s="246"/>
      <c r="J52" s="219"/>
      <c r="K52" s="219"/>
      <c r="L52" s="220"/>
      <c r="M52" s="45"/>
      <c r="N52" s="106"/>
      <c r="O52" s="1465" t="s">
        <v>195</v>
      </c>
      <c r="P52" s="509">
        <v>2</v>
      </c>
      <c r="Q52" s="509">
        <v>2</v>
      </c>
      <c r="R52" s="508">
        <v>2</v>
      </c>
    </row>
    <row r="53" spans="1:21" x14ac:dyDescent="0.2">
      <c r="A53" s="1444"/>
      <c r="B53" s="1445"/>
      <c r="C53" s="1446"/>
      <c r="D53" s="1478"/>
      <c r="E53" s="1409"/>
      <c r="F53" s="1479"/>
      <c r="G53" s="1462"/>
      <c r="H53" s="145"/>
      <c r="I53" s="215"/>
      <c r="J53" s="216"/>
      <c r="K53" s="216"/>
      <c r="L53" s="217"/>
      <c r="M53" s="65"/>
      <c r="N53" s="105"/>
      <c r="O53" s="1471"/>
      <c r="P53" s="669"/>
      <c r="Q53" s="669"/>
      <c r="R53" s="670"/>
    </row>
    <row r="54" spans="1:21" x14ac:dyDescent="0.2">
      <c r="A54" s="620"/>
      <c r="B54" s="637"/>
      <c r="C54" s="648"/>
      <c r="D54" s="1477" t="s">
        <v>205</v>
      </c>
      <c r="E54" s="666"/>
      <c r="F54" s="667" t="s">
        <v>38</v>
      </c>
      <c r="G54" s="668"/>
      <c r="H54" s="12"/>
      <c r="I54" s="359"/>
      <c r="J54" s="224"/>
      <c r="K54" s="224"/>
      <c r="L54" s="225"/>
      <c r="M54" s="356"/>
      <c r="N54" s="357"/>
      <c r="O54" s="1465" t="s">
        <v>63</v>
      </c>
      <c r="P54" s="661">
        <v>15.5</v>
      </c>
      <c r="Q54" s="661">
        <v>15.5</v>
      </c>
      <c r="R54" s="663">
        <v>15.5</v>
      </c>
    </row>
    <row r="55" spans="1:21" x14ac:dyDescent="0.2">
      <c r="A55" s="620"/>
      <c r="B55" s="637"/>
      <c r="C55" s="648"/>
      <c r="D55" s="1500"/>
      <c r="E55" s="651"/>
      <c r="F55" s="640"/>
      <c r="G55" s="616"/>
      <c r="H55" s="16"/>
      <c r="I55" s="316"/>
      <c r="J55" s="219"/>
      <c r="K55" s="219"/>
      <c r="L55" s="220"/>
      <c r="M55" s="45"/>
      <c r="N55" s="106"/>
      <c r="O55" s="1468"/>
      <c r="P55" s="657"/>
      <c r="Q55" s="657"/>
      <c r="R55" s="659"/>
      <c r="U55" s="88"/>
    </row>
    <row r="56" spans="1:21" ht="25.5" x14ac:dyDescent="0.2">
      <c r="A56" s="620"/>
      <c r="B56" s="637"/>
      <c r="C56" s="648"/>
      <c r="D56" s="1501"/>
      <c r="E56" s="671"/>
      <c r="F56" s="641"/>
      <c r="G56" s="642"/>
      <c r="H56" s="145"/>
      <c r="I56" s="231"/>
      <c r="J56" s="216"/>
      <c r="K56" s="216"/>
      <c r="L56" s="217"/>
      <c r="M56" s="36"/>
      <c r="N56" s="382"/>
      <c r="O56" s="66" t="s">
        <v>62</v>
      </c>
      <c r="P56" s="67">
        <v>102</v>
      </c>
      <c r="Q56" s="67">
        <v>102</v>
      </c>
      <c r="R56" s="68">
        <v>102</v>
      </c>
      <c r="U56" s="88"/>
    </row>
    <row r="57" spans="1:21" ht="25.5" x14ac:dyDescent="0.2">
      <c r="A57" s="620"/>
      <c r="B57" s="637"/>
      <c r="C57" s="648"/>
      <c r="D57" s="639" t="s">
        <v>160</v>
      </c>
      <c r="E57" s="651"/>
      <c r="F57" s="640"/>
      <c r="G57" s="616"/>
      <c r="H57" s="16"/>
      <c r="I57" s="316"/>
      <c r="J57" s="219"/>
      <c r="K57" s="219"/>
      <c r="L57" s="220"/>
      <c r="M57" s="35"/>
      <c r="N57" s="175"/>
      <c r="O57" s="643" t="s">
        <v>152</v>
      </c>
      <c r="P57" s="669">
        <v>1</v>
      </c>
      <c r="Q57" s="669"/>
      <c r="R57" s="670"/>
    </row>
    <row r="58" spans="1:21" x14ac:dyDescent="0.2">
      <c r="A58" s="620"/>
      <c r="B58" s="637"/>
      <c r="C58" s="648"/>
      <c r="D58" s="118" t="s">
        <v>153</v>
      </c>
      <c r="E58" s="651"/>
      <c r="F58" s="640"/>
      <c r="G58" s="616"/>
      <c r="H58" s="16"/>
      <c r="I58" s="316"/>
      <c r="J58" s="219"/>
      <c r="K58" s="219"/>
      <c r="L58" s="220"/>
      <c r="M58" s="35"/>
      <c r="N58" s="175"/>
      <c r="O58" s="66" t="s">
        <v>151</v>
      </c>
      <c r="P58" s="67">
        <v>1</v>
      </c>
      <c r="Q58" s="67"/>
      <c r="R58" s="68"/>
    </row>
    <row r="59" spans="1:21" x14ac:dyDescent="0.2">
      <c r="A59" s="620"/>
      <c r="B59" s="637"/>
      <c r="C59" s="648"/>
      <c r="D59" s="133" t="s">
        <v>156</v>
      </c>
      <c r="E59" s="651"/>
      <c r="F59" s="640"/>
      <c r="G59" s="616"/>
      <c r="H59" s="332"/>
      <c r="I59" s="316"/>
      <c r="J59" s="219"/>
      <c r="K59" s="219"/>
      <c r="L59" s="220"/>
      <c r="M59" s="35"/>
      <c r="N59" s="175"/>
      <c r="O59" s="1465" t="s">
        <v>204</v>
      </c>
      <c r="P59" s="509"/>
      <c r="Q59" s="509">
        <v>10</v>
      </c>
      <c r="R59" s="508">
        <v>90</v>
      </c>
    </row>
    <row r="60" spans="1:21" x14ac:dyDescent="0.2">
      <c r="A60" s="620"/>
      <c r="B60" s="637"/>
      <c r="C60" s="648"/>
      <c r="D60" s="1476"/>
      <c r="E60" s="651"/>
      <c r="F60" s="640"/>
      <c r="G60" s="616"/>
      <c r="H60" s="145"/>
      <c r="I60" s="231"/>
      <c r="J60" s="216"/>
      <c r="K60" s="216"/>
      <c r="L60" s="217"/>
      <c r="M60" s="36"/>
      <c r="N60" s="382"/>
      <c r="O60" s="1471"/>
      <c r="P60" s="669"/>
      <c r="Q60" s="669"/>
      <c r="R60" s="670"/>
    </row>
    <row r="61" spans="1:21" ht="13.5" thickBot="1" x14ac:dyDescent="0.25">
      <c r="A61" s="621"/>
      <c r="B61" s="645"/>
      <c r="C61" s="649"/>
      <c r="D61" s="1487"/>
      <c r="E61" s="652"/>
      <c r="F61" s="654"/>
      <c r="G61" s="617"/>
      <c r="H61" s="280" t="s">
        <v>10</v>
      </c>
      <c r="I61" s="285">
        <f t="shared" ref="I61:N61" si="0">I45+I46</f>
        <v>1471.4</v>
      </c>
      <c r="J61" s="237">
        <f t="shared" si="0"/>
        <v>1418.4</v>
      </c>
      <c r="K61" s="237">
        <f t="shared" si="0"/>
        <v>742.4</v>
      </c>
      <c r="L61" s="247">
        <f t="shared" si="0"/>
        <v>53</v>
      </c>
      <c r="M61" s="278">
        <f t="shared" si="0"/>
        <v>1707.9</v>
      </c>
      <c r="N61" s="247">
        <f t="shared" si="0"/>
        <v>1261.9000000000001</v>
      </c>
      <c r="O61" s="636"/>
      <c r="P61" s="507"/>
      <c r="Q61" s="507"/>
      <c r="R61" s="506"/>
    </row>
    <row r="62" spans="1:21" x14ac:dyDescent="0.2">
      <c r="A62" s="1489" t="s">
        <v>9</v>
      </c>
      <c r="B62" s="1490" t="s">
        <v>9</v>
      </c>
      <c r="C62" s="1491" t="s">
        <v>53</v>
      </c>
      <c r="D62" s="1492" t="s">
        <v>116</v>
      </c>
      <c r="E62" s="1494"/>
      <c r="F62" s="1482" t="s">
        <v>41</v>
      </c>
      <c r="G62" s="1483" t="s">
        <v>40</v>
      </c>
      <c r="H62" s="339" t="s">
        <v>36</v>
      </c>
      <c r="I62" s="340">
        <f>J62</f>
        <v>6017.6</v>
      </c>
      <c r="J62" s="340">
        <v>6017.6</v>
      </c>
      <c r="K62" s="340">
        <f>K64+K67</f>
        <v>0</v>
      </c>
      <c r="L62" s="345">
        <f>L64+L67</f>
        <v>0</v>
      </c>
      <c r="M62" s="344">
        <v>7827.6</v>
      </c>
      <c r="N62" s="346">
        <v>8062</v>
      </c>
      <c r="O62" s="1502"/>
      <c r="P62" s="1503"/>
      <c r="Q62" s="1503"/>
      <c r="R62" s="1504"/>
    </row>
    <row r="63" spans="1:21" x14ac:dyDescent="0.2">
      <c r="A63" s="1444"/>
      <c r="B63" s="1445"/>
      <c r="C63" s="1446"/>
      <c r="D63" s="1493"/>
      <c r="E63" s="1408"/>
      <c r="F63" s="1412"/>
      <c r="G63" s="1413"/>
      <c r="H63" s="16"/>
      <c r="I63" s="246"/>
      <c r="J63" s="219"/>
      <c r="K63" s="219"/>
      <c r="L63" s="220"/>
      <c r="M63" s="45"/>
      <c r="N63" s="106"/>
      <c r="O63" s="1468"/>
      <c r="P63" s="1472"/>
      <c r="Q63" s="1472"/>
      <c r="R63" s="1474"/>
    </row>
    <row r="64" spans="1:21" x14ac:dyDescent="0.2">
      <c r="A64" s="1444"/>
      <c r="B64" s="1445"/>
      <c r="C64" s="1446"/>
      <c r="D64" s="1477" t="s">
        <v>65</v>
      </c>
      <c r="E64" s="1408"/>
      <c r="F64" s="1412"/>
      <c r="G64" s="1413"/>
      <c r="H64" s="16"/>
      <c r="I64" s="246"/>
      <c r="J64" s="219"/>
      <c r="K64" s="219"/>
      <c r="L64" s="220"/>
      <c r="M64" s="45"/>
      <c r="N64" s="106"/>
      <c r="O64" s="1465" t="s">
        <v>100</v>
      </c>
      <c r="P64" s="1508">
        <v>7.7</v>
      </c>
      <c r="Q64" s="1508">
        <v>7.8</v>
      </c>
      <c r="R64" s="1505">
        <v>7.8</v>
      </c>
    </row>
    <row r="65" spans="1:19" x14ac:dyDescent="0.2">
      <c r="A65" s="1444"/>
      <c r="B65" s="1445"/>
      <c r="C65" s="1446"/>
      <c r="D65" s="1476"/>
      <c r="E65" s="1408"/>
      <c r="F65" s="1412"/>
      <c r="G65" s="1413"/>
      <c r="H65" s="16"/>
      <c r="I65" s="246"/>
      <c r="J65" s="219"/>
      <c r="K65" s="219"/>
      <c r="L65" s="220"/>
      <c r="M65" s="45"/>
      <c r="N65" s="106"/>
      <c r="O65" s="1468"/>
      <c r="P65" s="1509"/>
      <c r="Q65" s="1509"/>
      <c r="R65" s="1506"/>
    </row>
    <row r="66" spans="1:19" x14ac:dyDescent="0.2">
      <c r="A66" s="1444"/>
      <c r="B66" s="1445"/>
      <c r="C66" s="1446"/>
      <c r="D66" s="1476"/>
      <c r="E66" s="1408"/>
      <c r="F66" s="1412"/>
      <c r="G66" s="1413"/>
      <c r="H66" s="347"/>
      <c r="I66" s="335"/>
      <c r="J66" s="321"/>
      <c r="K66" s="321"/>
      <c r="L66" s="336"/>
      <c r="M66" s="348"/>
      <c r="N66" s="349"/>
      <c r="O66" s="61"/>
      <c r="P66" s="669"/>
      <c r="Q66" s="669"/>
      <c r="R66" s="670"/>
    </row>
    <row r="67" spans="1:19" x14ac:dyDescent="0.2">
      <c r="A67" s="1444"/>
      <c r="B67" s="1445"/>
      <c r="C67" s="1446"/>
      <c r="D67" s="1477" t="s">
        <v>64</v>
      </c>
      <c r="E67" s="1507" t="s">
        <v>184</v>
      </c>
      <c r="F67" s="1412"/>
      <c r="G67" s="1413"/>
      <c r="H67" s="16"/>
      <c r="I67" s="246"/>
      <c r="J67" s="219"/>
      <c r="K67" s="219"/>
      <c r="L67" s="220"/>
      <c r="M67" s="45"/>
      <c r="N67" s="106"/>
      <c r="O67" s="1468" t="s">
        <v>196</v>
      </c>
      <c r="P67" s="1510">
        <v>14.2</v>
      </c>
      <c r="Q67" s="1510">
        <v>14.4</v>
      </c>
      <c r="R67" s="1511">
        <v>14.6</v>
      </c>
    </row>
    <row r="68" spans="1:19" x14ac:dyDescent="0.2">
      <c r="A68" s="1444"/>
      <c r="B68" s="1445"/>
      <c r="C68" s="1446"/>
      <c r="D68" s="1476"/>
      <c r="E68" s="1507"/>
      <c r="F68" s="1412"/>
      <c r="G68" s="1413"/>
      <c r="H68" s="16"/>
      <c r="I68" s="246"/>
      <c r="J68" s="219"/>
      <c r="K68" s="219"/>
      <c r="L68" s="220"/>
      <c r="M68" s="45"/>
      <c r="N68" s="106"/>
      <c r="O68" s="1468"/>
      <c r="P68" s="1510"/>
      <c r="Q68" s="1510"/>
      <c r="R68" s="1511"/>
    </row>
    <row r="69" spans="1:19" x14ac:dyDescent="0.2">
      <c r="A69" s="1444"/>
      <c r="B69" s="1445"/>
      <c r="C69" s="1446"/>
      <c r="D69" s="1476"/>
      <c r="E69" s="1507"/>
      <c r="F69" s="1412"/>
      <c r="G69" s="1413"/>
      <c r="H69" s="16"/>
      <c r="I69" s="246"/>
      <c r="J69" s="219"/>
      <c r="K69" s="219"/>
      <c r="L69" s="220"/>
      <c r="M69" s="35"/>
      <c r="N69" s="175"/>
      <c r="O69" s="17" t="s">
        <v>145</v>
      </c>
      <c r="P69" s="107">
        <v>420</v>
      </c>
      <c r="Q69" s="107">
        <v>0</v>
      </c>
      <c r="R69" s="108">
        <v>0</v>
      </c>
    </row>
    <row r="70" spans="1:19" x14ac:dyDescent="0.2">
      <c r="A70" s="1444"/>
      <c r="B70" s="1445"/>
      <c r="C70" s="1446"/>
      <c r="D70" s="1478"/>
      <c r="E70" s="1507"/>
      <c r="F70" s="1412"/>
      <c r="G70" s="1413"/>
      <c r="H70" s="347"/>
      <c r="I70" s="335"/>
      <c r="J70" s="321"/>
      <c r="K70" s="321"/>
      <c r="L70" s="336"/>
      <c r="M70" s="348"/>
      <c r="N70" s="349"/>
      <c r="O70" s="61" t="s">
        <v>197</v>
      </c>
      <c r="P70" s="669">
        <v>89</v>
      </c>
      <c r="Q70" s="669">
        <v>100</v>
      </c>
      <c r="R70" s="670">
        <v>100</v>
      </c>
    </row>
    <row r="71" spans="1:19" x14ac:dyDescent="0.2">
      <c r="A71" s="1444"/>
      <c r="B71" s="1445"/>
      <c r="C71" s="1446"/>
      <c r="D71" s="1476" t="s">
        <v>66</v>
      </c>
      <c r="E71" s="1408"/>
      <c r="F71" s="1412"/>
      <c r="G71" s="1413"/>
      <c r="H71" s="16"/>
      <c r="I71" s="246"/>
      <c r="J71" s="219"/>
      <c r="K71" s="219"/>
      <c r="L71" s="220"/>
      <c r="M71" s="45"/>
      <c r="N71" s="106"/>
      <c r="O71" s="60" t="s">
        <v>102</v>
      </c>
      <c r="P71" s="509"/>
      <c r="Q71" s="509">
        <v>27</v>
      </c>
      <c r="R71" s="508"/>
    </row>
    <row r="72" spans="1:19" x14ac:dyDescent="0.2">
      <c r="A72" s="1444"/>
      <c r="B72" s="1445"/>
      <c r="C72" s="1446"/>
      <c r="D72" s="1478"/>
      <c r="E72" s="1408"/>
      <c r="F72" s="1412"/>
      <c r="G72" s="1413"/>
      <c r="H72" s="347"/>
      <c r="I72" s="335"/>
      <c r="J72" s="321"/>
      <c r="K72" s="321"/>
      <c r="L72" s="336"/>
      <c r="M72" s="348"/>
      <c r="N72" s="349"/>
      <c r="O72" s="61"/>
      <c r="P72" s="669"/>
      <c r="Q72" s="669"/>
      <c r="R72" s="670"/>
    </row>
    <row r="73" spans="1:19" x14ac:dyDescent="0.2">
      <c r="A73" s="1444"/>
      <c r="B73" s="1445"/>
      <c r="C73" s="1446"/>
      <c r="D73" s="1476" t="s">
        <v>67</v>
      </c>
      <c r="E73" s="1408"/>
      <c r="F73" s="1412"/>
      <c r="G73" s="1413"/>
      <c r="H73" s="12" t="s">
        <v>94</v>
      </c>
      <c r="I73" s="218">
        <f>J73</f>
        <v>2038</v>
      </c>
      <c r="J73" s="224">
        <v>2038</v>
      </c>
      <c r="K73" s="224"/>
      <c r="L73" s="225"/>
      <c r="M73" s="356"/>
      <c r="N73" s="357"/>
      <c r="O73" s="17" t="s">
        <v>68</v>
      </c>
      <c r="P73" s="657"/>
      <c r="Q73" s="657">
        <v>94</v>
      </c>
      <c r="R73" s="659"/>
    </row>
    <row r="74" spans="1:19" ht="13.5" thickBot="1" x14ac:dyDescent="0.25">
      <c r="A74" s="1484"/>
      <c r="B74" s="1485"/>
      <c r="C74" s="1486"/>
      <c r="D74" s="1487"/>
      <c r="E74" s="1512"/>
      <c r="F74" s="1488"/>
      <c r="G74" s="1497"/>
      <c r="H74" s="564"/>
      <c r="I74" s="270"/>
      <c r="J74" s="565"/>
      <c r="K74" s="565"/>
      <c r="L74" s="566"/>
      <c r="M74" s="567"/>
      <c r="N74" s="568"/>
      <c r="O74" s="18"/>
      <c r="P74" s="507"/>
      <c r="Q74" s="507"/>
      <c r="R74" s="506"/>
    </row>
    <row r="75" spans="1:19" ht="25.5" x14ac:dyDescent="0.2">
      <c r="A75" s="620"/>
      <c r="B75" s="637"/>
      <c r="C75" s="648"/>
      <c r="D75" s="639" t="s">
        <v>132</v>
      </c>
      <c r="E75" s="651"/>
      <c r="F75" s="640"/>
      <c r="G75" s="616"/>
      <c r="H75" s="16"/>
      <c r="I75" s="246"/>
      <c r="J75" s="219"/>
      <c r="K75" s="219"/>
      <c r="L75" s="220"/>
      <c r="M75" s="45"/>
      <c r="N75" s="106"/>
      <c r="O75" s="61" t="s">
        <v>117</v>
      </c>
      <c r="P75" s="669"/>
      <c r="Q75" s="669">
        <v>33</v>
      </c>
      <c r="R75" s="670">
        <v>33</v>
      </c>
    </row>
    <row r="76" spans="1:19" x14ac:dyDescent="0.2">
      <c r="A76" s="1444"/>
      <c r="B76" s="1445"/>
      <c r="C76" s="1446"/>
      <c r="D76" s="1476" t="s">
        <v>133</v>
      </c>
      <c r="E76" s="1408"/>
      <c r="F76" s="1412"/>
      <c r="G76" s="1413"/>
      <c r="H76" s="145"/>
      <c r="I76" s="215"/>
      <c r="J76" s="216"/>
      <c r="K76" s="216"/>
      <c r="L76" s="217"/>
      <c r="M76" s="65"/>
      <c r="N76" s="105"/>
      <c r="O76" s="1468" t="s">
        <v>69</v>
      </c>
      <c r="P76" s="657"/>
      <c r="Q76" s="657">
        <v>9</v>
      </c>
      <c r="R76" s="659">
        <v>7</v>
      </c>
    </row>
    <row r="77" spans="1:19" ht="13.5" thickBot="1" x14ac:dyDescent="0.25">
      <c r="A77" s="1484"/>
      <c r="B77" s="1485"/>
      <c r="C77" s="1486"/>
      <c r="D77" s="1487"/>
      <c r="E77" s="1512"/>
      <c r="F77" s="1488"/>
      <c r="G77" s="1497"/>
      <c r="H77" s="280" t="s">
        <v>10</v>
      </c>
      <c r="I77" s="242">
        <f>I62+I73</f>
        <v>8055.6</v>
      </c>
      <c r="J77" s="237">
        <f>J62+J73</f>
        <v>8055.6</v>
      </c>
      <c r="K77" s="237">
        <f>SUM(K76:K76)</f>
        <v>0</v>
      </c>
      <c r="L77" s="241">
        <f>SUM(L76:L76)</f>
        <v>0</v>
      </c>
      <c r="M77" s="278">
        <f>M62</f>
        <v>7827.6</v>
      </c>
      <c r="N77" s="245">
        <f>N62</f>
        <v>8062</v>
      </c>
      <c r="O77" s="1498"/>
      <c r="P77" s="507"/>
      <c r="Q77" s="507"/>
      <c r="R77" s="506"/>
    </row>
    <row r="78" spans="1:19" x14ac:dyDescent="0.2">
      <c r="A78" s="1489" t="s">
        <v>9</v>
      </c>
      <c r="B78" s="1490" t="s">
        <v>9</v>
      </c>
      <c r="C78" s="1491" t="s">
        <v>54</v>
      </c>
      <c r="D78" s="1513" t="s">
        <v>167</v>
      </c>
      <c r="E78" s="1494"/>
      <c r="F78" s="1482" t="s">
        <v>38</v>
      </c>
      <c r="G78" s="1519" t="s">
        <v>95</v>
      </c>
      <c r="H78" s="15" t="s">
        <v>36</v>
      </c>
      <c r="I78" s="239">
        <f>J78+L78</f>
        <v>610.4</v>
      </c>
      <c r="J78" s="229">
        <v>610.4</v>
      </c>
      <c r="K78" s="229"/>
      <c r="L78" s="240"/>
      <c r="M78" s="46">
        <f>50+577</f>
        <v>627</v>
      </c>
      <c r="N78" s="46">
        <f>50+577</f>
        <v>627</v>
      </c>
      <c r="O78" s="1502" t="s">
        <v>103</v>
      </c>
      <c r="P78" s="656">
        <f>57+15</f>
        <v>72</v>
      </c>
      <c r="Q78" s="656">
        <f>15+57</f>
        <v>72</v>
      </c>
      <c r="R78" s="658">
        <f>15+57</f>
        <v>72</v>
      </c>
    </row>
    <row r="79" spans="1:19" x14ac:dyDescent="0.2">
      <c r="A79" s="1444"/>
      <c r="B79" s="1445"/>
      <c r="C79" s="1446"/>
      <c r="D79" s="1514"/>
      <c r="E79" s="1408"/>
      <c r="F79" s="1412"/>
      <c r="G79" s="1520"/>
      <c r="H79" s="25"/>
      <c r="I79" s="233">
        <f>J79+L79</f>
        <v>0</v>
      </c>
      <c r="J79" s="219"/>
      <c r="K79" s="219"/>
      <c r="L79" s="243"/>
      <c r="M79" s="69"/>
      <c r="N79" s="69"/>
      <c r="O79" s="1468"/>
      <c r="P79" s="657"/>
      <c r="Q79" s="657"/>
      <c r="R79" s="659"/>
    </row>
    <row r="80" spans="1:19" x14ac:dyDescent="0.2">
      <c r="A80" s="1444"/>
      <c r="B80" s="1445"/>
      <c r="C80" s="1446"/>
      <c r="D80" s="1514"/>
      <c r="E80" s="1408"/>
      <c r="F80" s="1412"/>
      <c r="G80" s="1520"/>
      <c r="H80" s="16"/>
      <c r="I80" s="231">
        <f>J80+L80</f>
        <v>0</v>
      </c>
      <c r="J80" s="224"/>
      <c r="K80" s="224"/>
      <c r="L80" s="244"/>
      <c r="M80" s="23"/>
      <c r="N80" s="23"/>
      <c r="O80" s="17"/>
      <c r="P80" s="657"/>
      <c r="Q80" s="657"/>
      <c r="R80" s="659"/>
      <c r="S80" s="48"/>
    </row>
    <row r="81" spans="1:21" ht="13.5" thickBot="1" x14ac:dyDescent="0.25">
      <c r="A81" s="1484"/>
      <c r="B81" s="1485"/>
      <c r="C81" s="1486"/>
      <c r="D81" s="1515"/>
      <c r="E81" s="1512"/>
      <c r="F81" s="1488"/>
      <c r="G81" s="1521"/>
      <c r="H81" s="280" t="s">
        <v>10</v>
      </c>
      <c r="I81" s="236">
        <f t="shared" ref="I81:N81" si="1">SUM(I78:I80)</f>
        <v>610.4</v>
      </c>
      <c r="J81" s="242">
        <f t="shared" si="1"/>
        <v>610.4</v>
      </c>
      <c r="K81" s="242">
        <f t="shared" si="1"/>
        <v>0</v>
      </c>
      <c r="L81" s="245">
        <f t="shared" si="1"/>
        <v>0</v>
      </c>
      <c r="M81" s="278">
        <f t="shared" si="1"/>
        <v>627</v>
      </c>
      <c r="N81" s="278">
        <f t="shared" si="1"/>
        <v>627</v>
      </c>
      <c r="O81" s="18"/>
      <c r="P81" s="507"/>
      <c r="Q81" s="507"/>
      <c r="R81" s="506"/>
    </row>
    <row r="82" spans="1:21" x14ac:dyDescent="0.2">
      <c r="A82" s="1489" t="s">
        <v>9</v>
      </c>
      <c r="B82" s="1490" t="s">
        <v>9</v>
      </c>
      <c r="C82" s="1491" t="s">
        <v>41</v>
      </c>
      <c r="D82" s="1522" t="s">
        <v>154</v>
      </c>
      <c r="E82" s="1525" t="s">
        <v>91</v>
      </c>
      <c r="F82" s="1482" t="s">
        <v>54</v>
      </c>
      <c r="G82" s="615" t="s">
        <v>90</v>
      </c>
      <c r="H82" s="15" t="s">
        <v>36</v>
      </c>
      <c r="I82" s="228">
        <f>J82+L82</f>
        <v>3.5</v>
      </c>
      <c r="J82" s="229">
        <f>1.9+1.6</f>
        <v>3.5</v>
      </c>
      <c r="K82" s="229"/>
      <c r="L82" s="230"/>
      <c r="M82" s="46"/>
      <c r="N82" s="109"/>
      <c r="O82" s="1502" t="s">
        <v>111</v>
      </c>
      <c r="P82" s="1516">
        <v>12</v>
      </c>
      <c r="Q82" s="1503"/>
      <c r="R82" s="1504"/>
    </row>
    <row r="83" spans="1:21" x14ac:dyDescent="0.2">
      <c r="A83" s="1444"/>
      <c r="B83" s="1445"/>
      <c r="C83" s="1446"/>
      <c r="D83" s="1523"/>
      <c r="E83" s="1526"/>
      <c r="F83" s="1412"/>
      <c r="G83" s="616"/>
      <c r="H83" s="25" t="s">
        <v>88</v>
      </c>
      <c r="I83" s="221">
        <f>J83+L83</f>
        <v>598.79999999999995</v>
      </c>
      <c r="J83" s="219"/>
      <c r="K83" s="219"/>
      <c r="L83" s="220">
        <v>598.79999999999995</v>
      </c>
      <c r="M83" s="69"/>
      <c r="N83" s="103"/>
      <c r="O83" s="1468"/>
      <c r="P83" s="1517"/>
      <c r="Q83" s="1472"/>
      <c r="R83" s="1474"/>
    </row>
    <row r="84" spans="1:21" x14ac:dyDescent="0.2">
      <c r="A84" s="1444"/>
      <c r="B84" s="1445"/>
      <c r="C84" s="1446"/>
      <c r="D84" s="1523"/>
      <c r="E84" s="49"/>
      <c r="F84" s="1412"/>
      <c r="G84" s="668" t="s">
        <v>203</v>
      </c>
      <c r="H84" s="25" t="s">
        <v>92</v>
      </c>
      <c r="I84" s="215">
        <f>J84+L84</f>
        <v>0</v>
      </c>
      <c r="J84" s="224"/>
      <c r="K84" s="224"/>
      <c r="L84" s="225"/>
      <c r="M84" s="23"/>
      <c r="N84" s="104"/>
      <c r="O84" s="1468"/>
      <c r="P84" s="63"/>
      <c r="Q84" s="63"/>
      <c r="R84" s="659"/>
    </row>
    <row r="85" spans="1:21" x14ac:dyDescent="0.2">
      <c r="A85" s="1444"/>
      <c r="B85" s="1445"/>
      <c r="C85" s="1446"/>
      <c r="D85" s="1523"/>
      <c r="E85" s="49"/>
      <c r="F85" s="1412"/>
      <c r="G85" s="616"/>
      <c r="H85" s="25" t="s">
        <v>36</v>
      </c>
      <c r="I85" s="221">
        <f>J85+L85</f>
        <v>0.5</v>
      </c>
      <c r="J85" s="222">
        <v>0.5</v>
      </c>
      <c r="K85" s="222">
        <v>0.3</v>
      </c>
      <c r="L85" s="223"/>
      <c r="M85" s="123"/>
      <c r="N85" s="174"/>
      <c r="O85" s="1518"/>
      <c r="P85" s="657"/>
      <c r="Q85" s="657"/>
      <c r="R85" s="659"/>
    </row>
    <row r="86" spans="1:21" x14ac:dyDescent="0.2">
      <c r="A86" s="1444"/>
      <c r="B86" s="1445"/>
      <c r="C86" s="1446"/>
      <c r="D86" s="1523"/>
      <c r="E86" s="49"/>
      <c r="F86" s="1412"/>
      <c r="G86" s="616"/>
      <c r="H86" s="16" t="s">
        <v>36</v>
      </c>
      <c r="I86" s="246"/>
      <c r="J86" s="219"/>
      <c r="K86" s="219"/>
      <c r="L86" s="220"/>
      <c r="M86" s="35"/>
      <c r="N86" s="175"/>
      <c r="O86" s="1518"/>
      <c r="P86" s="63"/>
      <c r="Q86" s="63"/>
      <c r="R86" s="659"/>
    </row>
    <row r="87" spans="1:21" ht="13.5" thickBot="1" x14ac:dyDescent="0.25">
      <c r="A87" s="1484"/>
      <c r="B87" s="1485"/>
      <c r="C87" s="1486"/>
      <c r="D87" s="1524"/>
      <c r="E87" s="50"/>
      <c r="F87" s="1488"/>
      <c r="G87" s="617"/>
      <c r="H87" s="280" t="s">
        <v>10</v>
      </c>
      <c r="I87" s="242">
        <f>SUM(I82:I86)</f>
        <v>602.79999999999995</v>
      </c>
      <c r="J87" s="242">
        <f>SUM(J82:J86)</f>
        <v>4</v>
      </c>
      <c r="K87" s="242">
        <f>SUM(K82:K86)</f>
        <v>0.3</v>
      </c>
      <c r="L87" s="247">
        <f>SUM(L82:L86)</f>
        <v>598.79999999999995</v>
      </c>
      <c r="M87" s="278">
        <f>M86</f>
        <v>0</v>
      </c>
      <c r="N87" s="242">
        <f>SUM(N82:N86)</f>
        <v>0</v>
      </c>
      <c r="O87" s="1527"/>
      <c r="P87" s="507"/>
      <c r="Q87" s="507"/>
      <c r="R87" s="506"/>
    </row>
    <row r="88" spans="1:21" x14ac:dyDescent="0.2">
      <c r="A88" s="1489" t="s">
        <v>9</v>
      </c>
      <c r="B88" s="1490" t="s">
        <v>9</v>
      </c>
      <c r="C88" s="1491" t="s">
        <v>55</v>
      </c>
      <c r="D88" s="1499" t="s">
        <v>129</v>
      </c>
      <c r="E88" s="1494"/>
      <c r="F88" s="1482" t="s">
        <v>54</v>
      </c>
      <c r="G88" s="1483" t="s">
        <v>40</v>
      </c>
      <c r="H88" s="15" t="s">
        <v>36</v>
      </c>
      <c r="I88" s="239">
        <f>J88+L88</f>
        <v>150</v>
      </c>
      <c r="J88" s="229">
        <v>150</v>
      </c>
      <c r="K88" s="229"/>
      <c r="L88" s="230"/>
      <c r="M88" s="46"/>
      <c r="N88" s="46"/>
      <c r="O88" s="618" t="s">
        <v>57</v>
      </c>
      <c r="P88" s="657">
        <v>4</v>
      </c>
      <c r="Q88" s="657"/>
      <c r="R88" s="659"/>
    </row>
    <row r="89" spans="1:21" x14ac:dyDescent="0.2">
      <c r="A89" s="1444"/>
      <c r="B89" s="1445"/>
      <c r="C89" s="1446"/>
      <c r="D89" s="1476"/>
      <c r="E89" s="1408"/>
      <c r="F89" s="1412"/>
      <c r="G89" s="1413"/>
      <c r="H89" s="117"/>
      <c r="I89" s="233"/>
      <c r="J89" s="222"/>
      <c r="K89" s="222"/>
      <c r="L89" s="223"/>
      <c r="M89" s="51"/>
      <c r="N89" s="51"/>
      <c r="O89" s="17"/>
      <c r="P89" s="657"/>
      <c r="Q89" s="657"/>
      <c r="R89" s="659"/>
    </row>
    <row r="90" spans="1:21" ht="13.5" thickBot="1" x14ac:dyDescent="0.25">
      <c r="A90" s="1484"/>
      <c r="B90" s="1485"/>
      <c r="C90" s="1486"/>
      <c r="D90" s="1487"/>
      <c r="E90" s="1512"/>
      <c r="F90" s="1488"/>
      <c r="G90" s="617"/>
      <c r="H90" s="280" t="s">
        <v>10</v>
      </c>
      <c r="I90" s="242">
        <f t="shared" ref="I90:N90" si="2">SUM(I88:I89)</f>
        <v>150</v>
      </c>
      <c r="J90" s="237">
        <f t="shared" si="2"/>
        <v>150</v>
      </c>
      <c r="K90" s="237">
        <f t="shared" si="2"/>
        <v>0</v>
      </c>
      <c r="L90" s="237">
        <f t="shared" si="2"/>
        <v>0</v>
      </c>
      <c r="M90" s="278">
        <f t="shared" si="2"/>
        <v>0</v>
      </c>
      <c r="N90" s="278">
        <f t="shared" si="2"/>
        <v>0</v>
      </c>
      <c r="O90" s="18"/>
      <c r="P90" s="507"/>
      <c r="Q90" s="507"/>
      <c r="R90" s="506"/>
    </row>
    <row r="91" spans="1:21" x14ac:dyDescent="0.2">
      <c r="A91" s="1489" t="s">
        <v>9</v>
      </c>
      <c r="B91" s="1490" t="s">
        <v>9</v>
      </c>
      <c r="C91" s="1532" t="s">
        <v>44</v>
      </c>
      <c r="D91" s="1522" t="s">
        <v>188</v>
      </c>
      <c r="E91" s="1535" t="s">
        <v>169</v>
      </c>
      <c r="F91" s="1538" t="s">
        <v>53</v>
      </c>
      <c r="G91" s="1483" t="s">
        <v>90</v>
      </c>
      <c r="H91" s="339" t="s">
        <v>92</v>
      </c>
      <c r="I91" s="228">
        <f>J91+L91</f>
        <v>445</v>
      </c>
      <c r="J91" s="268"/>
      <c r="K91" s="268"/>
      <c r="L91" s="269">
        <v>445</v>
      </c>
      <c r="M91" s="311">
        <v>49.5</v>
      </c>
      <c r="N91" s="109"/>
      <c r="O91" s="1528" t="s">
        <v>200</v>
      </c>
      <c r="P91" s="146">
        <v>50</v>
      </c>
      <c r="Q91" s="146">
        <v>50</v>
      </c>
      <c r="R91" s="147"/>
    </row>
    <row r="92" spans="1:21" x14ac:dyDescent="0.2">
      <c r="A92" s="1444"/>
      <c r="B92" s="1445"/>
      <c r="C92" s="1533"/>
      <c r="D92" s="1523"/>
      <c r="E92" s="1536"/>
      <c r="F92" s="1449"/>
      <c r="G92" s="1413"/>
      <c r="H92" s="12" t="s">
        <v>36</v>
      </c>
      <c r="I92" s="215">
        <f>L92</f>
        <v>0.1</v>
      </c>
      <c r="J92" s="224"/>
      <c r="K92" s="224"/>
      <c r="L92" s="225">
        <v>0.1</v>
      </c>
      <c r="M92" s="83"/>
      <c r="N92" s="55"/>
      <c r="O92" s="1450"/>
      <c r="P92" s="75"/>
      <c r="Q92" s="75"/>
      <c r="R92" s="76"/>
    </row>
    <row r="93" spans="1:21" x14ac:dyDescent="0.2">
      <c r="A93" s="1444"/>
      <c r="B93" s="1445"/>
      <c r="C93" s="1533"/>
      <c r="D93" s="1523"/>
      <c r="E93" s="1536"/>
      <c r="F93" s="1449"/>
      <c r="G93" s="1413"/>
      <c r="H93" s="12" t="s">
        <v>93</v>
      </c>
      <c r="I93" s="215">
        <f>J93+L93</f>
        <v>93.4</v>
      </c>
      <c r="J93" s="224"/>
      <c r="K93" s="224"/>
      <c r="L93" s="225">
        <v>93.4</v>
      </c>
      <c r="M93" s="83">
        <v>10.4</v>
      </c>
      <c r="N93" s="103"/>
      <c r="O93" s="1451"/>
      <c r="P93" s="78"/>
      <c r="Q93" s="78"/>
      <c r="R93" s="148"/>
    </row>
    <row r="94" spans="1:21" ht="29.25" thickBot="1" x14ac:dyDescent="0.25">
      <c r="A94" s="1484"/>
      <c r="B94" s="1485"/>
      <c r="C94" s="1534"/>
      <c r="D94" s="1524"/>
      <c r="E94" s="1537"/>
      <c r="F94" s="1539"/>
      <c r="G94" s="1497"/>
      <c r="H94" s="280" t="s">
        <v>10</v>
      </c>
      <c r="I94" s="242">
        <f t="shared" ref="I94:N94" si="3">SUM(I91:I93)</f>
        <v>538.5</v>
      </c>
      <c r="J94" s="242">
        <f t="shared" si="3"/>
        <v>0</v>
      </c>
      <c r="K94" s="242">
        <f t="shared" si="3"/>
        <v>0</v>
      </c>
      <c r="L94" s="247">
        <f t="shared" si="3"/>
        <v>538.5</v>
      </c>
      <c r="M94" s="278">
        <f>SUM(M91:M93)</f>
        <v>59.9</v>
      </c>
      <c r="N94" s="242">
        <f t="shared" si="3"/>
        <v>0</v>
      </c>
      <c r="O94" s="136" t="s">
        <v>199</v>
      </c>
      <c r="P94" s="633">
        <v>50</v>
      </c>
      <c r="Q94" s="633">
        <v>50</v>
      </c>
      <c r="R94" s="635"/>
      <c r="S94" s="14"/>
      <c r="U94" s="13"/>
    </row>
    <row r="95" spans="1:21" x14ac:dyDescent="0.2">
      <c r="A95" s="363" t="s">
        <v>9</v>
      </c>
      <c r="B95" s="627" t="s">
        <v>9</v>
      </c>
      <c r="C95" s="646" t="s">
        <v>161</v>
      </c>
      <c r="D95" s="1522" t="s">
        <v>179</v>
      </c>
      <c r="E95" s="650"/>
      <c r="F95" s="186"/>
      <c r="G95" s="190"/>
      <c r="H95" s="455" t="s">
        <v>36</v>
      </c>
      <c r="I95" s="248">
        <f>J95+L95</f>
        <v>69.2</v>
      </c>
      <c r="J95" s="249">
        <v>19.2</v>
      </c>
      <c r="K95" s="249"/>
      <c r="L95" s="250">
        <v>50</v>
      </c>
      <c r="M95" s="201">
        <v>150</v>
      </c>
      <c r="N95" s="201"/>
      <c r="O95" s="1530" t="s">
        <v>177</v>
      </c>
      <c r="P95" s="184">
        <f>P98+P99+P100+P101+P102+P106</f>
        <v>4</v>
      </c>
      <c r="Q95" s="656">
        <v>2</v>
      </c>
      <c r="R95" s="658"/>
    </row>
    <row r="96" spans="1:21" x14ac:dyDescent="0.2">
      <c r="A96" s="94"/>
      <c r="B96" s="628"/>
      <c r="C96" s="638"/>
      <c r="D96" s="1529"/>
      <c r="E96" s="671"/>
      <c r="F96" s="196"/>
      <c r="G96" s="197"/>
      <c r="H96" s="456" t="s">
        <v>88</v>
      </c>
      <c r="I96" s="251"/>
      <c r="J96" s="252"/>
      <c r="K96" s="252"/>
      <c r="L96" s="253"/>
      <c r="M96" s="202">
        <v>227.3</v>
      </c>
      <c r="N96" s="202">
        <v>243.3</v>
      </c>
      <c r="O96" s="1531"/>
      <c r="P96" s="183"/>
      <c r="Q96" s="669"/>
      <c r="R96" s="670"/>
    </row>
    <row r="97" spans="1:21" ht="25.5" x14ac:dyDescent="0.2">
      <c r="A97" s="94"/>
      <c r="B97" s="628"/>
      <c r="C97" s="638"/>
      <c r="D97" s="350" t="s">
        <v>178</v>
      </c>
      <c r="E97" s="651"/>
      <c r="F97" s="187" t="s">
        <v>41</v>
      </c>
      <c r="G97" s="191" t="s">
        <v>90</v>
      </c>
      <c r="H97" s="456" t="s">
        <v>92</v>
      </c>
      <c r="I97" s="251">
        <f>J97</f>
        <v>108.4</v>
      </c>
      <c r="J97" s="252">
        <v>108.4</v>
      </c>
      <c r="K97" s="252"/>
      <c r="L97" s="253"/>
      <c r="M97" s="202">
        <v>2802.7</v>
      </c>
      <c r="N97" s="202">
        <v>2999.4</v>
      </c>
      <c r="O97" s="194"/>
      <c r="P97" s="183"/>
      <c r="Q97" s="669"/>
      <c r="R97" s="670"/>
    </row>
    <row r="98" spans="1:21" ht="29.25" x14ac:dyDescent="0.2">
      <c r="A98" s="364"/>
      <c r="B98" s="440"/>
      <c r="C98" s="360"/>
      <c r="D98" s="195" t="s">
        <v>172</v>
      </c>
      <c r="E98" s="435" t="s">
        <v>182</v>
      </c>
      <c r="F98" s="189"/>
      <c r="G98" s="193"/>
      <c r="H98" s="457"/>
      <c r="I98" s="436"/>
      <c r="J98" s="437"/>
      <c r="K98" s="437"/>
      <c r="L98" s="438"/>
      <c r="M98" s="439"/>
      <c r="N98" s="439"/>
      <c r="O98" s="130" t="s">
        <v>176</v>
      </c>
      <c r="P98" s="131">
        <v>1</v>
      </c>
      <c r="Q98" s="131"/>
      <c r="R98" s="127"/>
    </row>
    <row r="99" spans="1:21" ht="38.25" x14ac:dyDescent="0.2">
      <c r="A99" s="361"/>
      <c r="B99" s="362"/>
      <c r="C99" s="360"/>
      <c r="D99" s="433" t="s">
        <v>173</v>
      </c>
      <c r="E99" s="434" t="s">
        <v>182</v>
      </c>
      <c r="F99" s="188"/>
      <c r="G99" s="192"/>
      <c r="H99" s="458"/>
      <c r="I99" s="254"/>
      <c r="J99" s="255"/>
      <c r="K99" s="255"/>
      <c r="L99" s="256"/>
      <c r="M99" s="203"/>
      <c r="N99" s="203"/>
      <c r="O99" s="179" t="s">
        <v>176</v>
      </c>
      <c r="P99" s="178">
        <v>1</v>
      </c>
      <c r="Q99" s="178"/>
      <c r="R99" s="132"/>
    </row>
    <row r="100" spans="1:21" ht="38.25" x14ac:dyDescent="0.2">
      <c r="A100" s="361"/>
      <c r="B100" s="362"/>
      <c r="C100" s="360"/>
      <c r="D100" s="195" t="s">
        <v>174</v>
      </c>
      <c r="E100" s="200" t="s">
        <v>183</v>
      </c>
      <c r="F100" s="188"/>
      <c r="G100" s="192"/>
      <c r="H100" s="458"/>
      <c r="I100" s="254"/>
      <c r="J100" s="255"/>
      <c r="K100" s="255"/>
      <c r="L100" s="256"/>
      <c r="M100" s="203"/>
      <c r="N100" s="203"/>
      <c r="O100" s="180" t="s">
        <v>176</v>
      </c>
      <c r="P100" s="181">
        <v>1</v>
      </c>
      <c r="Q100" s="181"/>
      <c r="R100" s="182"/>
    </row>
    <row r="101" spans="1:21" ht="38.25" x14ac:dyDescent="0.2">
      <c r="A101" s="361"/>
      <c r="B101" s="362"/>
      <c r="C101" s="360"/>
      <c r="D101" s="195" t="s">
        <v>175</v>
      </c>
      <c r="E101" s="185"/>
      <c r="F101" s="189"/>
      <c r="G101" s="193"/>
      <c r="H101" s="459"/>
      <c r="I101" s="352"/>
      <c r="J101" s="353"/>
      <c r="K101" s="353"/>
      <c r="L101" s="354"/>
      <c r="M101" s="463"/>
      <c r="N101" s="355"/>
      <c r="O101" s="130" t="s">
        <v>176</v>
      </c>
      <c r="P101" s="178">
        <v>1</v>
      </c>
      <c r="Q101" s="178"/>
      <c r="R101" s="132"/>
    </row>
    <row r="102" spans="1:21" x14ac:dyDescent="0.2">
      <c r="A102" s="1444"/>
      <c r="B102" s="1544"/>
      <c r="C102" s="1533"/>
      <c r="D102" s="1545" t="s">
        <v>165</v>
      </c>
      <c r="E102" s="1526" t="s">
        <v>91</v>
      </c>
      <c r="F102" s="1449" t="s">
        <v>53</v>
      </c>
      <c r="G102" s="1413" t="s">
        <v>90</v>
      </c>
      <c r="H102" s="460"/>
      <c r="I102" s="359"/>
      <c r="J102" s="224"/>
      <c r="K102" s="224"/>
      <c r="L102" s="244"/>
      <c r="M102" s="357"/>
      <c r="N102" s="357"/>
      <c r="O102" s="1540" t="s">
        <v>159</v>
      </c>
      <c r="P102" s="54"/>
      <c r="Q102" s="53">
        <v>1</v>
      </c>
      <c r="R102" s="173"/>
      <c r="U102" s="13"/>
    </row>
    <row r="103" spans="1:21" x14ac:dyDescent="0.2">
      <c r="A103" s="1444"/>
      <c r="B103" s="1544"/>
      <c r="C103" s="1533"/>
      <c r="D103" s="1545"/>
      <c r="E103" s="1526"/>
      <c r="F103" s="1449"/>
      <c r="G103" s="1413"/>
      <c r="H103" s="461"/>
      <c r="I103" s="316"/>
      <c r="J103" s="219"/>
      <c r="K103" s="219"/>
      <c r="L103" s="243"/>
      <c r="M103" s="106"/>
      <c r="N103" s="106"/>
      <c r="O103" s="1541"/>
      <c r="P103" s="128"/>
      <c r="Q103" s="129"/>
      <c r="R103" s="132"/>
      <c r="U103" s="13"/>
    </row>
    <row r="104" spans="1:21" x14ac:dyDescent="0.2">
      <c r="A104" s="1444"/>
      <c r="B104" s="1544"/>
      <c r="C104" s="1533"/>
      <c r="D104" s="1545"/>
      <c r="E104" s="1526"/>
      <c r="F104" s="1449"/>
      <c r="G104" s="1413"/>
      <c r="H104" s="461"/>
      <c r="I104" s="316"/>
      <c r="J104" s="219"/>
      <c r="K104" s="219"/>
      <c r="L104" s="243"/>
      <c r="M104" s="106"/>
      <c r="N104" s="106"/>
      <c r="O104" s="1542"/>
      <c r="P104" s="128"/>
      <c r="Q104" s="129"/>
      <c r="R104" s="132"/>
      <c r="U104" s="13"/>
    </row>
    <row r="105" spans="1:21" x14ac:dyDescent="0.2">
      <c r="A105" s="1444"/>
      <c r="B105" s="1544"/>
      <c r="C105" s="1533"/>
      <c r="D105" s="1546"/>
      <c r="E105" s="1547"/>
      <c r="F105" s="1460"/>
      <c r="G105" s="1462"/>
      <c r="H105" s="462"/>
      <c r="I105" s="464"/>
      <c r="J105" s="335"/>
      <c r="K105" s="335"/>
      <c r="L105" s="465"/>
      <c r="M105" s="349"/>
      <c r="N105" s="349"/>
      <c r="O105" s="1543"/>
      <c r="P105" s="59"/>
      <c r="Q105" s="59"/>
      <c r="R105" s="143"/>
      <c r="U105" s="13"/>
    </row>
    <row r="106" spans="1:21" x14ac:dyDescent="0.2">
      <c r="A106" s="1444"/>
      <c r="B106" s="1445"/>
      <c r="C106" s="1533"/>
      <c r="D106" s="1476" t="s">
        <v>192</v>
      </c>
      <c r="E106" s="1526" t="s">
        <v>91</v>
      </c>
      <c r="F106" s="1412" t="s">
        <v>44</v>
      </c>
      <c r="G106" s="1413" t="s">
        <v>90</v>
      </c>
      <c r="H106" s="358"/>
      <c r="I106" s="359"/>
      <c r="J106" s="224"/>
      <c r="K106" s="224"/>
      <c r="L106" s="244"/>
      <c r="M106" s="357"/>
      <c r="N106" s="357"/>
      <c r="O106" s="1563" t="s">
        <v>155</v>
      </c>
      <c r="P106" s="657"/>
      <c r="Q106" s="657">
        <v>1</v>
      </c>
      <c r="R106" s="659"/>
    </row>
    <row r="107" spans="1:21" x14ac:dyDescent="0.2">
      <c r="A107" s="1444"/>
      <c r="B107" s="1445"/>
      <c r="C107" s="1533"/>
      <c r="D107" s="1476"/>
      <c r="E107" s="1526"/>
      <c r="F107" s="1412"/>
      <c r="G107" s="1413"/>
      <c r="H107" s="135"/>
      <c r="I107" s="316"/>
      <c r="J107" s="219"/>
      <c r="K107" s="219"/>
      <c r="L107" s="243"/>
      <c r="M107" s="106"/>
      <c r="N107" s="106"/>
      <c r="O107" s="1481"/>
      <c r="P107" s="657"/>
      <c r="Q107" s="657"/>
      <c r="R107" s="659"/>
    </row>
    <row r="108" spans="1:21" x14ac:dyDescent="0.2">
      <c r="A108" s="1444"/>
      <c r="B108" s="1445"/>
      <c r="C108" s="1533"/>
      <c r="D108" s="1476"/>
      <c r="E108" s="1526"/>
      <c r="F108" s="1412"/>
      <c r="G108" s="1413"/>
      <c r="H108" s="135"/>
      <c r="I108" s="231"/>
      <c r="J108" s="219"/>
      <c r="K108" s="219"/>
      <c r="L108" s="243"/>
      <c r="M108" s="175"/>
      <c r="N108" s="175"/>
      <c r="O108" s="1468"/>
      <c r="P108" s="657"/>
      <c r="Q108" s="657"/>
      <c r="R108" s="659"/>
    </row>
    <row r="109" spans="1:21" ht="13.5" thickBot="1" x14ac:dyDescent="0.25">
      <c r="A109" s="1444"/>
      <c r="B109" s="1445"/>
      <c r="C109" s="1533"/>
      <c r="D109" s="1476"/>
      <c r="E109" s="1526"/>
      <c r="F109" s="1412"/>
      <c r="G109" s="1413"/>
      <c r="H109" s="272" t="s">
        <v>10</v>
      </c>
      <c r="I109" s="273">
        <f>I97+I95</f>
        <v>177.6</v>
      </c>
      <c r="J109" s="227">
        <f>J97+J95</f>
        <v>127.6</v>
      </c>
      <c r="K109" s="227">
        <f>K97+K95</f>
        <v>0</v>
      </c>
      <c r="L109" s="274">
        <f>L97+L95</f>
        <v>50</v>
      </c>
      <c r="M109" s="226">
        <f>M95+M96+M97</f>
        <v>3180</v>
      </c>
      <c r="N109" s="273">
        <f>N95+N96+N97</f>
        <v>3242.7</v>
      </c>
      <c r="O109" s="1468"/>
      <c r="P109" s="657"/>
      <c r="Q109" s="657"/>
      <c r="R109" s="659"/>
    </row>
    <row r="110" spans="1:21" ht="26.25" thickBot="1" x14ac:dyDescent="0.25">
      <c r="A110" s="93" t="s">
        <v>9</v>
      </c>
      <c r="B110" s="11" t="s">
        <v>9</v>
      </c>
      <c r="C110" s="1548" t="s">
        <v>12</v>
      </c>
      <c r="D110" s="1548"/>
      <c r="E110" s="1548"/>
      <c r="F110" s="1548"/>
      <c r="G110" s="1548"/>
      <c r="H110" s="1548"/>
      <c r="I110" s="537" t="s">
        <v>215</v>
      </c>
      <c r="J110" s="554" t="s">
        <v>216</v>
      </c>
      <c r="K110" s="466">
        <f>K109+K94+K90+K87+K81+K77+K61+K44+K32</f>
        <v>742.7</v>
      </c>
      <c r="L110" s="467">
        <f>L109+L94+L90+L87+L81+L77+L61+L44+L32</f>
        <v>1374.7</v>
      </c>
      <c r="M110" s="24">
        <f>M109+M94+M90+M87+M81+M77+M61+M44+M32</f>
        <v>22958.3</v>
      </c>
      <c r="N110" s="176">
        <f>N109+N94+N90+N87+N81+N77+N61+N44+N32</f>
        <v>21634.5</v>
      </c>
      <c r="O110" s="610"/>
      <c r="P110" s="611"/>
      <c r="Q110" s="611"/>
      <c r="R110" s="612"/>
    </row>
    <row r="111" spans="1:21" ht="13.5" thickBot="1" x14ac:dyDescent="0.25">
      <c r="A111" s="93" t="s">
        <v>9</v>
      </c>
      <c r="B111" s="11" t="s">
        <v>11</v>
      </c>
      <c r="C111" s="1549" t="s">
        <v>71</v>
      </c>
      <c r="D111" s="1550"/>
      <c r="E111" s="1550"/>
      <c r="F111" s="1550"/>
      <c r="G111" s="1550"/>
      <c r="H111" s="1550"/>
      <c r="I111" s="1550"/>
      <c r="J111" s="1550"/>
      <c r="K111" s="1550"/>
      <c r="L111" s="1550"/>
      <c r="M111" s="1550"/>
      <c r="N111" s="1550"/>
      <c r="O111" s="1550"/>
      <c r="P111" s="1550"/>
      <c r="Q111" s="1550"/>
      <c r="R111" s="1551"/>
    </row>
    <row r="112" spans="1:21" x14ac:dyDescent="0.2">
      <c r="A112" s="1489" t="s">
        <v>9</v>
      </c>
      <c r="B112" s="1552" t="s">
        <v>11</v>
      </c>
      <c r="C112" s="1555" t="s">
        <v>9</v>
      </c>
      <c r="D112" s="1558" t="s">
        <v>108</v>
      </c>
      <c r="E112" s="1560"/>
      <c r="F112" s="1538" t="s">
        <v>54</v>
      </c>
      <c r="G112" s="1483" t="s">
        <v>40</v>
      </c>
      <c r="H112" s="19" t="s">
        <v>36</v>
      </c>
      <c r="I112" s="239">
        <f>J112+L112</f>
        <v>513.5</v>
      </c>
      <c r="J112" s="229">
        <v>513.5</v>
      </c>
      <c r="K112" s="229"/>
      <c r="L112" s="230"/>
      <c r="M112" s="41">
        <v>582</v>
      </c>
      <c r="N112" s="41">
        <v>582</v>
      </c>
      <c r="O112" s="1502" t="s">
        <v>74</v>
      </c>
      <c r="P112" s="632">
        <v>18</v>
      </c>
      <c r="Q112" s="632">
        <v>18</v>
      </c>
      <c r="R112" s="634">
        <v>18</v>
      </c>
      <c r="U112" s="13"/>
    </row>
    <row r="113" spans="1:24" x14ac:dyDescent="0.2">
      <c r="A113" s="1444"/>
      <c r="B113" s="1553"/>
      <c r="C113" s="1556"/>
      <c r="D113" s="1545"/>
      <c r="E113" s="1561"/>
      <c r="F113" s="1449"/>
      <c r="G113" s="1413"/>
      <c r="H113" s="26"/>
      <c r="I113" s="233">
        <f>J113+L113</f>
        <v>0</v>
      </c>
      <c r="J113" s="219"/>
      <c r="K113" s="219"/>
      <c r="L113" s="220"/>
      <c r="M113" s="69"/>
      <c r="N113" s="69"/>
      <c r="O113" s="1468"/>
      <c r="P113" s="31"/>
      <c r="Q113" s="31"/>
      <c r="R113" s="144"/>
      <c r="U113" s="13"/>
    </row>
    <row r="114" spans="1:24" x14ac:dyDescent="0.2">
      <c r="A114" s="1444"/>
      <c r="B114" s="1553"/>
      <c r="C114" s="1556"/>
      <c r="D114" s="1545"/>
      <c r="E114" s="1561"/>
      <c r="F114" s="1449"/>
      <c r="G114" s="1413"/>
      <c r="H114" s="20"/>
      <c r="I114" s="215">
        <f>J114+L114</f>
        <v>0</v>
      </c>
      <c r="J114" s="224"/>
      <c r="K114" s="224"/>
      <c r="L114" s="225"/>
      <c r="M114" s="23"/>
      <c r="N114" s="23"/>
      <c r="O114" s="1468"/>
      <c r="P114" s="31"/>
      <c r="Q114" s="31"/>
      <c r="R114" s="144"/>
      <c r="U114" s="13"/>
    </row>
    <row r="115" spans="1:24" ht="13.5" thickBot="1" x14ac:dyDescent="0.25">
      <c r="A115" s="1484"/>
      <c r="B115" s="1554"/>
      <c r="C115" s="1557"/>
      <c r="D115" s="1559"/>
      <c r="E115" s="1562"/>
      <c r="F115" s="1539"/>
      <c r="G115" s="1497"/>
      <c r="H115" s="280" t="s">
        <v>10</v>
      </c>
      <c r="I115" s="242">
        <f t="shared" ref="I115:N115" si="4">SUM(I112:I114)</f>
        <v>513.5</v>
      </c>
      <c r="J115" s="237">
        <f t="shared" si="4"/>
        <v>513.5</v>
      </c>
      <c r="K115" s="237">
        <f t="shared" si="4"/>
        <v>0</v>
      </c>
      <c r="L115" s="237">
        <f t="shared" si="4"/>
        <v>0</v>
      </c>
      <c r="M115" s="278">
        <f t="shared" si="4"/>
        <v>582</v>
      </c>
      <c r="N115" s="278">
        <f t="shared" si="4"/>
        <v>582</v>
      </c>
      <c r="O115" s="18"/>
      <c r="P115" s="633"/>
      <c r="Q115" s="633"/>
      <c r="R115" s="635"/>
      <c r="U115" s="13"/>
    </row>
    <row r="116" spans="1:24" x14ac:dyDescent="0.2">
      <c r="A116" s="1489" t="s">
        <v>9</v>
      </c>
      <c r="B116" s="1552" t="s">
        <v>11</v>
      </c>
      <c r="C116" s="1555" t="s">
        <v>11</v>
      </c>
      <c r="D116" s="1558" t="s">
        <v>75</v>
      </c>
      <c r="E116" s="1560"/>
      <c r="F116" s="1538" t="s">
        <v>54</v>
      </c>
      <c r="G116" s="1483" t="s">
        <v>40</v>
      </c>
      <c r="H116" s="19" t="s">
        <v>36</v>
      </c>
      <c r="I116" s="239">
        <f>J116+L116</f>
        <v>5</v>
      </c>
      <c r="J116" s="229">
        <v>5</v>
      </c>
      <c r="K116" s="229"/>
      <c r="L116" s="230"/>
      <c r="M116" s="41">
        <v>5</v>
      </c>
      <c r="N116" s="41">
        <v>5</v>
      </c>
      <c r="O116" s="1502" t="s">
        <v>105</v>
      </c>
      <c r="P116" s="632">
        <v>3</v>
      </c>
      <c r="Q116" s="632">
        <v>3</v>
      </c>
      <c r="R116" s="634">
        <v>3</v>
      </c>
      <c r="U116" s="13"/>
    </row>
    <row r="117" spans="1:24" x14ac:dyDescent="0.2">
      <c r="A117" s="1444"/>
      <c r="B117" s="1553"/>
      <c r="C117" s="1556"/>
      <c r="D117" s="1545"/>
      <c r="E117" s="1561"/>
      <c r="F117" s="1449"/>
      <c r="G117" s="1413"/>
      <c r="H117" s="20"/>
      <c r="I117" s="246"/>
      <c r="J117" s="219"/>
      <c r="K117" s="219"/>
      <c r="L117" s="220"/>
      <c r="M117" s="45"/>
      <c r="N117" s="45"/>
      <c r="O117" s="1468"/>
      <c r="P117" s="31"/>
      <c r="Q117" s="31"/>
      <c r="R117" s="144"/>
      <c r="U117" s="13"/>
    </row>
    <row r="118" spans="1:24" ht="13.5" thickBot="1" x14ac:dyDescent="0.25">
      <c r="A118" s="1484"/>
      <c r="B118" s="1554"/>
      <c r="C118" s="1557"/>
      <c r="D118" s="1559"/>
      <c r="E118" s="1562"/>
      <c r="F118" s="1539"/>
      <c r="G118" s="1497"/>
      <c r="H118" s="280" t="s">
        <v>10</v>
      </c>
      <c r="I118" s="242">
        <f t="shared" ref="I118:N118" si="5">SUM(I116:I116)</f>
        <v>5</v>
      </c>
      <c r="J118" s="237">
        <f t="shared" si="5"/>
        <v>5</v>
      </c>
      <c r="K118" s="237">
        <f t="shared" si="5"/>
        <v>0</v>
      </c>
      <c r="L118" s="237">
        <f t="shared" si="5"/>
        <v>0</v>
      </c>
      <c r="M118" s="278">
        <f t="shared" si="5"/>
        <v>5</v>
      </c>
      <c r="N118" s="278">
        <f t="shared" si="5"/>
        <v>5</v>
      </c>
      <c r="O118" s="1564"/>
      <c r="P118" s="633"/>
      <c r="Q118" s="633"/>
      <c r="R118" s="635"/>
      <c r="U118" s="13"/>
    </row>
    <row r="119" spans="1:24" x14ac:dyDescent="0.2">
      <c r="A119" s="1489" t="s">
        <v>9</v>
      </c>
      <c r="B119" s="1552" t="s">
        <v>11</v>
      </c>
      <c r="C119" s="1555" t="s">
        <v>38</v>
      </c>
      <c r="D119" s="1558" t="s">
        <v>104</v>
      </c>
      <c r="E119" s="1560"/>
      <c r="F119" s="1538" t="s">
        <v>54</v>
      </c>
      <c r="G119" s="1483" t="s">
        <v>40</v>
      </c>
      <c r="H119" s="417" t="s">
        <v>36</v>
      </c>
      <c r="I119" s="418">
        <f>J119+L119</f>
        <v>90</v>
      </c>
      <c r="J119" s="419">
        <v>90</v>
      </c>
      <c r="K119" s="419"/>
      <c r="L119" s="269"/>
      <c r="M119" s="338">
        <v>46</v>
      </c>
      <c r="N119" s="338">
        <v>46</v>
      </c>
      <c r="O119" s="1502" t="s">
        <v>76</v>
      </c>
      <c r="P119" s="632">
        <v>350</v>
      </c>
      <c r="Q119" s="632">
        <v>350</v>
      </c>
      <c r="R119" s="634">
        <v>350</v>
      </c>
      <c r="U119" s="13"/>
    </row>
    <row r="120" spans="1:24" x14ac:dyDescent="0.2">
      <c r="A120" s="1444"/>
      <c r="B120" s="1553"/>
      <c r="C120" s="1556"/>
      <c r="D120" s="1545"/>
      <c r="E120" s="1561"/>
      <c r="F120" s="1449"/>
      <c r="G120" s="1413"/>
      <c r="H120" s="20"/>
      <c r="I120" s="318"/>
      <c r="J120" s="259"/>
      <c r="K120" s="259"/>
      <c r="L120" s="220"/>
      <c r="M120" s="69"/>
      <c r="N120" s="69"/>
      <c r="O120" s="1468"/>
      <c r="P120" s="31"/>
      <c r="Q120" s="31"/>
      <c r="R120" s="144"/>
      <c r="U120" s="13"/>
    </row>
    <row r="121" spans="1:24" x14ac:dyDescent="0.2">
      <c r="A121" s="1444"/>
      <c r="B121" s="1553"/>
      <c r="C121" s="1556"/>
      <c r="D121" s="1545"/>
      <c r="E121" s="1561"/>
      <c r="F121" s="1449"/>
      <c r="G121" s="1413"/>
      <c r="H121" s="20"/>
      <c r="I121" s="318"/>
      <c r="J121" s="259"/>
      <c r="K121" s="259"/>
      <c r="L121" s="220"/>
      <c r="M121" s="69"/>
      <c r="N121" s="69"/>
      <c r="O121" s="1468" t="s">
        <v>77</v>
      </c>
      <c r="P121" s="31">
        <v>30</v>
      </c>
      <c r="Q121" s="31">
        <v>30</v>
      </c>
      <c r="R121" s="144">
        <v>30</v>
      </c>
      <c r="U121" s="13"/>
    </row>
    <row r="122" spans="1:24" x14ac:dyDescent="0.2">
      <c r="A122" s="1444"/>
      <c r="B122" s="1553"/>
      <c r="C122" s="1556"/>
      <c r="D122" s="1545"/>
      <c r="E122" s="1561"/>
      <c r="F122" s="1449"/>
      <c r="G122" s="1413"/>
      <c r="H122" s="20"/>
      <c r="I122" s="260"/>
      <c r="J122" s="259"/>
      <c r="K122" s="259"/>
      <c r="L122" s="220"/>
      <c r="M122" s="35"/>
      <c r="N122" s="35"/>
      <c r="O122" s="1468"/>
      <c r="P122" s="31"/>
      <c r="Q122" s="31"/>
      <c r="R122" s="144"/>
      <c r="U122" s="13"/>
    </row>
    <row r="123" spans="1:24" ht="13.5" thickBot="1" x14ac:dyDescent="0.25">
      <c r="A123" s="1484"/>
      <c r="B123" s="1554"/>
      <c r="C123" s="1557"/>
      <c r="D123" s="1559"/>
      <c r="E123" s="1562"/>
      <c r="F123" s="1539"/>
      <c r="G123" s="1497"/>
      <c r="H123" s="280" t="s">
        <v>10</v>
      </c>
      <c r="I123" s="261">
        <f t="shared" ref="I123:N123" si="6">SUM(I119:I122)</f>
        <v>90</v>
      </c>
      <c r="J123" s="262">
        <f t="shared" si="6"/>
        <v>90</v>
      </c>
      <c r="K123" s="262">
        <f t="shared" si="6"/>
        <v>0</v>
      </c>
      <c r="L123" s="237">
        <f t="shared" si="6"/>
        <v>0</v>
      </c>
      <c r="M123" s="278">
        <f t="shared" si="6"/>
        <v>46</v>
      </c>
      <c r="N123" s="278">
        <f t="shared" si="6"/>
        <v>46</v>
      </c>
      <c r="O123" s="18" t="s">
        <v>139</v>
      </c>
      <c r="P123" s="633">
        <v>30</v>
      </c>
      <c r="Q123" s="633">
        <v>30</v>
      </c>
      <c r="R123" s="635">
        <v>30</v>
      </c>
      <c r="U123" s="13"/>
    </row>
    <row r="124" spans="1:24" x14ac:dyDescent="0.2">
      <c r="A124" s="1489" t="s">
        <v>9</v>
      </c>
      <c r="B124" s="1552" t="s">
        <v>11</v>
      </c>
      <c r="C124" s="1555" t="s">
        <v>53</v>
      </c>
      <c r="D124" s="1558" t="s">
        <v>80</v>
      </c>
      <c r="E124" s="1560"/>
      <c r="F124" s="1538" t="s">
        <v>54</v>
      </c>
      <c r="G124" s="1483" t="s">
        <v>40</v>
      </c>
      <c r="H124" s="19" t="s">
        <v>36</v>
      </c>
      <c r="I124" s="257">
        <f>J124+L124</f>
        <v>6</v>
      </c>
      <c r="J124" s="258">
        <v>6</v>
      </c>
      <c r="K124" s="258"/>
      <c r="L124" s="230"/>
      <c r="M124" s="41">
        <v>6</v>
      </c>
      <c r="N124" s="41">
        <v>6</v>
      </c>
      <c r="O124" s="1502" t="s">
        <v>81</v>
      </c>
      <c r="P124" s="632">
        <v>20</v>
      </c>
      <c r="Q124" s="632">
        <v>20</v>
      </c>
      <c r="R124" s="634">
        <v>20</v>
      </c>
      <c r="U124" s="13"/>
    </row>
    <row r="125" spans="1:24" x14ac:dyDescent="0.2">
      <c r="A125" s="1444"/>
      <c r="B125" s="1553"/>
      <c r="C125" s="1556"/>
      <c r="D125" s="1545"/>
      <c r="E125" s="1561"/>
      <c r="F125" s="1449"/>
      <c r="G125" s="1413"/>
      <c r="H125" s="26"/>
      <c r="I125" s="235">
        <f>J125+L125</f>
        <v>0</v>
      </c>
      <c r="J125" s="259"/>
      <c r="K125" s="259"/>
      <c r="L125" s="220"/>
      <c r="M125" s="69"/>
      <c r="N125" s="69"/>
      <c r="O125" s="1468"/>
      <c r="P125" s="31"/>
      <c r="Q125" s="31"/>
      <c r="R125" s="144"/>
      <c r="U125" s="13"/>
    </row>
    <row r="126" spans="1:24" ht="13.5" thickBot="1" x14ac:dyDescent="0.25">
      <c r="A126" s="1484"/>
      <c r="B126" s="1554"/>
      <c r="C126" s="1557"/>
      <c r="D126" s="1559"/>
      <c r="E126" s="1562"/>
      <c r="F126" s="1539"/>
      <c r="G126" s="1497"/>
      <c r="H126" s="280" t="s">
        <v>10</v>
      </c>
      <c r="I126" s="261">
        <f t="shared" ref="I126:N126" si="7">SUM(I124:I125)</f>
        <v>6</v>
      </c>
      <c r="J126" s="262">
        <f t="shared" si="7"/>
        <v>6</v>
      </c>
      <c r="K126" s="262">
        <f t="shared" si="7"/>
        <v>0</v>
      </c>
      <c r="L126" s="237">
        <f t="shared" si="7"/>
        <v>0</v>
      </c>
      <c r="M126" s="278">
        <f t="shared" si="7"/>
        <v>6</v>
      </c>
      <c r="N126" s="278">
        <f t="shared" si="7"/>
        <v>6</v>
      </c>
      <c r="O126" s="18"/>
      <c r="P126" s="633"/>
      <c r="Q126" s="633"/>
      <c r="R126" s="635"/>
      <c r="U126" s="13"/>
    </row>
    <row r="127" spans="1:24" x14ac:dyDescent="0.2">
      <c r="A127" s="1489" t="s">
        <v>9</v>
      </c>
      <c r="B127" s="1552" t="s">
        <v>11</v>
      </c>
      <c r="C127" s="1555" t="s">
        <v>54</v>
      </c>
      <c r="D127" s="1568" t="s">
        <v>89</v>
      </c>
      <c r="E127" s="1525" t="s">
        <v>91</v>
      </c>
      <c r="F127" s="1538" t="s">
        <v>41</v>
      </c>
      <c r="G127" s="1483" t="s">
        <v>90</v>
      </c>
      <c r="H127" s="281" t="s">
        <v>36</v>
      </c>
      <c r="I127" s="257">
        <f>J127+L127</f>
        <v>75.2</v>
      </c>
      <c r="J127" s="258"/>
      <c r="K127" s="258"/>
      <c r="L127" s="230">
        <v>75.2</v>
      </c>
      <c r="M127" s="46"/>
      <c r="N127" s="46"/>
      <c r="O127" s="1502" t="s">
        <v>138</v>
      </c>
      <c r="P127" s="1566"/>
      <c r="Q127" s="632"/>
      <c r="R127" s="634"/>
      <c r="U127" s="13"/>
      <c r="V127" s="14"/>
      <c r="W127" s="14"/>
      <c r="X127" s="14"/>
    </row>
    <row r="128" spans="1:24" x14ac:dyDescent="0.2">
      <c r="A128" s="1444"/>
      <c r="B128" s="1553"/>
      <c r="C128" s="1556"/>
      <c r="D128" s="1569"/>
      <c r="E128" s="1526"/>
      <c r="F128" s="1449"/>
      <c r="G128" s="1413"/>
      <c r="H128" s="282" t="s">
        <v>130</v>
      </c>
      <c r="I128" s="235">
        <f>J128+L128</f>
        <v>400</v>
      </c>
      <c r="J128" s="259"/>
      <c r="K128" s="259"/>
      <c r="L128" s="220">
        <v>400</v>
      </c>
      <c r="M128" s="69"/>
      <c r="N128" s="69"/>
      <c r="O128" s="1468"/>
      <c r="P128" s="1567"/>
      <c r="Q128" s="31"/>
      <c r="R128" s="144"/>
      <c r="U128" s="13"/>
      <c r="V128" s="14"/>
      <c r="W128" s="14"/>
      <c r="X128" s="14"/>
    </row>
    <row r="129" spans="1:32" ht="13.5" thickBot="1" x14ac:dyDescent="0.25">
      <c r="A129" s="1484"/>
      <c r="B129" s="1554"/>
      <c r="C129" s="1557"/>
      <c r="D129" s="1570"/>
      <c r="E129" s="1565"/>
      <c r="F129" s="1539"/>
      <c r="G129" s="1497"/>
      <c r="H129" s="280" t="s">
        <v>10</v>
      </c>
      <c r="I129" s="261">
        <f t="shared" ref="I129:N129" si="8">SUM(I127:I128)</f>
        <v>475.2</v>
      </c>
      <c r="J129" s="262">
        <f t="shared" si="8"/>
        <v>0</v>
      </c>
      <c r="K129" s="262">
        <f t="shared" si="8"/>
        <v>0</v>
      </c>
      <c r="L129" s="237">
        <f t="shared" si="8"/>
        <v>475.2</v>
      </c>
      <c r="M129" s="278">
        <f t="shared" si="8"/>
        <v>0</v>
      </c>
      <c r="N129" s="278">
        <f t="shared" si="8"/>
        <v>0</v>
      </c>
      <c r="O129" s="1498"/>
      <c r="P129" s="420">
        <v>100</v>
      </c>
      <c r="Q129" s="633"/>
      <c r="R129" s="635"/>
      <c r="U129" s="13"/>
      <c r="V129" s="14"/>
      <c r="W129" s="14"/>
      <c r="X129" s="14"/>
    </row>
    <row r="130" spans="1:32" x14ac:dyDescent="0.2">
      <c r="A130" s="1489" t="s">
        <v>9</v>
      </c>
      <c r="B130" s="1552" t="s">
        <v>11</v>
      </c>
      <c r="C130" s="1555" t="s">
        <v>41</v>
      </c>
      <c r="D130" s="1571" t="s">
        <v>96</v>
      </c>
      <c r="E130" s="1560"/>
      <c r="F130" s="1538" t="s">
        <v>54</v>
      </c>
      <c r="G130" s="1483" t="s">
        <v>40</v>
      </c>
      <c r="H130" s="281" t="s">
        <v>36</v>
      </c>
      <c r="I130" s="239">
        <f>J130+L130</f>
        <v>100.3</v>
      </c>
      <c r="J130" s="229">
        <v>100.3</v>
      </c>
      <c r="K130" s="229"/>
      <c r="L130" s="230"/>
      <c r="M130" s="41">
        <v>100</v>
      </c>
      <c r="N130" s="41"/>
      <c r="O130" s="618" t="s">
        <v>78</v>
      </c>
      <c r="P130" s="632"/>
      <c r="Q130" s="632">
        <v>1</v>
      </c>
      <c r="R130" s="634"/>
      <c r="U130" s="13"/>
      <c r="V130" s="14"/>
      <c r="W130" s="14"/>
      <c r="X130" s="14"/>
    </row>
    <row r="131" spans="1:32" x14ac:dyDescent="0.2">
      <c r="A131" s="1444"/>
      <c r="B131" s="1553"/>
      <c r="C131" s="1556"/>
      <c r="D131" s="1572"/>
      <c r="E131" s="1561"/>
      <c r="F131" s="1449"/>
      <c r="G131" s="1413"/>
      <c r="H131" s="282"/>
      <c r="I131" s="233">
        <f>J131+L131</f>
        <v>0</v>
      </c>
      <c r="J131" s="219"/>
      <c r="K131" s="219"/>
      <c r="L131" s="220"/>
      <c r="M131" s="69"/>
      <c r="N131" s="69"/>
      <c r="O131" s="17"/>
      <c r="P131" s="31"/>
      <c r="Q131" s="31"/>
      <c r="R131" s="144"/>
      <c r="U131" s="13"/>
      <c r="V131" s="14"/>
      <c r="W131" s="14"/>
      <c r="X131" s="14"/>
    </row>
    <row r="132" spans="1:32" ht="13.5" thickBot="1" x14ac:dyDescent="0.25">
      <c r="A132" s="1484"/>
      <c r="B132" s="1554"/>
      <c r="C132" s="1557"/>
      <c r="D132" s="1573"/>
      <c r="E132" s="1562"/>
      <c r="F132" s="1539"/>
      <c r="G132" s="1497"/>
      <c r="H132" s="280" t="s">
        <v>10</v>
      </c>
      <c r="I132" s="242">
        <f t="shared" ref="I132:N132" si="9">SUM(I130:I131)</f>
        <v>100.3</v>
      </c>
      <c r="J132" s="237">
        <f t="shared" si="9"/>
        <v>100.3</v>
      </c>
      <c r="K132" s="237">
        <f t="shared" si="9"/>
        <v>0</v>
      </c>
      <c r="L132" s="237">
        <f t="shared" si="9"/>
        <v>0</v>
      </c>
      <c r="M132" s="278">
        <f t="shared" si="9"/>
        <v>100</v>
      </c>
      <c r="N132" s="278">
        <f t="shared" si="9"/>
        <v>0</v>
      </c>
      <c r="O132" s="18"/>
      <c r="P132" s="633"/>
      <c r="Q132" s="633"/>
      <c r="R132" s="635"/>
      <c r="U132" s="13"/>
      <c r="V132" s="14"/>
      <c r="W132" s="14"/>
      <c r="X132" s="14"/>
    </row>
    <row r="133" spans="1:32" x14ac:dyDescent="0.2">
      <c r="A133" s="1489" t="s">
        <v>9</v>
      </c>
      <c r="B133" s="1552" t="s">
        <v>11</v>
      </c>
      <c r="C133" s="1555" t="s">
        <v>55</v>
      </c>
      <c r="D133" s="1571" t="s">
        <v>107</v>
      </c>
      <c r="E133" s="1560"/>
      <c r="F133" s="1538" t="s">
        <v>54</v>
      </c>
      <c r="G133" s="1483" t="s">
        <v>40</v>
      </c>
      <c r="H133" s="19" t="s">
        <v>36</v>
      </c>
      <c r="I133" s="239">
        <f>J133+L133</f>
        <v>20</v>
      </c>
      <c r="J133" s="229">
        <v>20</v>
      </c>
      <c r="K133" s="229"/>
      <c r="L133" s="230"/>
      <c r="M133" s="41"/>
      <c r="N133" s="41"/>
      <c r="O133" s="618" t="s">
        <v>79</v>
      </c>
      <c r="P133" s="632">
        <v>150</v>
      </c>
      <c r="Q133" s="632"/>
      <c r="R133" s="634"/>
      <c r="U133" s="13"/>
    </row>
    <row r="134" spans="1:32" x14ac:dyDescent="0.2">
      <c r="A134" s="1444"/>
      <c r="B134" s="1553"/>
      <c r="C134" s="1556"/>
      <c r="D134" s="1572"/>
      <c r="E134" s="1561"/>
      <c r="F134" s="1449"/>
      <c r="G134" s="1413"/>
      <c r="H134" s="26"/>
      <c r="I134" s="233">
        <f>J134+L134</f>
        <v>0</v>
      </c>
      <c r="J134" s="219"/>
      <c r="K134" s="219"/>
      <c r="L134" s="220"/>
      <c r="M134" s="69"/>
      <c r="N134" s="69"/>
      <c r="O134" s="17"/>
      <c r="P134" s="31"/>
      <c r="Q134" s="31"/>
      <c r="R134" s="144"/>
      <c r="U134" s="13"/>
    </row>
    <row r="135" spans="1:32" ht="13.5" thickBot="1" x14ac:dyDescent="0.25">
      <c r="A135" s="1484"/>
      <c r="B135" s="1554"/>
      <c r="C135" s="1557"/>
      <c r="D135" s="1573"/>
      <c r="E135" s="1562"/>
      <c r="F135" s="1539"/>
      <c r="G135" s="1497"/>
      <c r="H135" s="280" t="s">
        <v>10</v>
      </c>
      <c r="I135" s="242">
        <f t="shared" ref="I135:N135" si="10">SUM(I133:I134)</f>
        <v>20</v>
      </c>
      <c r="J135" s="237">
        <f t="shared" si="10"/>
        <v>20</v>
      </c>
      <c r="K135" s="237">
        <f t="shared" si="10"/>
        <v>0</v>
      </c>
      <c r="L135" s="237">
        <f t="shared" si="10"/>
        <v>0</v>
      </c>
      <c r="M135" s="278">
        <f t="shared" si="10"/>
        <v>0</v>
      </c>
      <c r="N135" s="278">
        <f t="shared" si="10"/>
        <v>0</v>
      </c>
      <c r="O135" s="18"/>
      <c r="P135" s="633"/>
      <c r="Q135" s="633"/>
      <c r="R135" s="635"/>
      <c r="U135" s="13"/>
    </row>
    <row r="136" spans="1:32" ht="13.5" thickBot="1" x14ac:dyDescent="0.25">
      <c r="A136" s="99" t="s">
        <v>9</v>
      </c>
      <c r="B136" s="11" t="s">
        <v>11</v>
      </c>
      <c r="C136" s="1548" t="s">
        <v>12</v>
      </c>
      <c r="D136" s="1548"/>
      <c r="E136" s="1548"/>
      <c r="F136" s="1548"/>
      <c r="G136" s="1548"/>
      <c r="H136" s="1574"/>
      <c r="I136" s="24">
        <f t="shared" ref="I136:N136" si="11">SUM(I129,I126,I135,I132,I123,I118,I115)</f>
        <v>1210</v>
      </c>
      <c r="J136" s="24">
        <f t="shared" si="11"/>
        <v>734.8</v>
      </c>
      <c r="K136" s="24">
        <f t="shared" si="11"/>
        <v>0</v>
      </c>
      <c r="L136" s="24">
        <f t="shared" si="11"/>
        <v>475.2</v>
      </c>
      <c r="M136" s="24">
        <f t="shared" si="11"/>
        <v>739</v>
      </c>
      <c r="N136" s="24">
        <f t="shared" si="11"/>
        <v>639</v>
      </c>
      <c r="O136" s="1575"/>
      <c r="P136" s="1576"/>
      <c r="Q136" s="1576"/>
      <c r="R136" s="1577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ht="13.5" thickBot="1" x14ac:dyDescent="0.25">
      <c r="A137" s="93" t="s">
        <v>9</v>
      </c>
      <c r="B137" s="11" t="s">
        <v>38</v>
      </c>
      <c r="C137" s="1549" t="s">
        <v>72</v>
      </c>
      <c r="D137" s="1550"/>
      <c r="E137" s="1550"/>
      <c r="F137" s="1550"/>
      <c r="G137" s="1550"/>
      <c r="H137" s="1550"/>
      <c r="I137" s="1550"/>
      <c r="J137" s="1550"/>
      <c r="K137" s="1550"/>
      <c r="L137" s="1550"/>
      <c r="M137" s="1550"/>
      <c r="N137" s="1550"/>
      <c r="O137" s="1550"/>
      <c r="P137" s="1550"/>
      <c r="Q137" s="1550"/>
      <c r="R137" s="1551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x14ac:dyDescent="0.2">
      <c r="A138" s="1489" t="s">
        <v>9</v>
      </c>
      <c r="B138" s="1552" t="s">
        <v>38</v>
      </c>
      <c r="C138" s="1555" t="s">
        <v>9</v>
      </c>
      <c r="D138" s="1558" t="s">
        <v>82</v>
      </c>
      <c r="E138" s="1578"/>
      <c r="F138" s="1538" t="s">
        <v>54</v>
      </c>
      <c r="G138" s="1519" t="s">
        <v>40</v>
      </c>
      <c r="H138" s="281" t="s">
        <v>36</v>
      </c>
      <c r="I138" s="239">
        <f>J138+L138</f>
        <v>1233.5</v>
      </c>
      <c r="J138" s="229">
        <v>1233.5</v>
      </c>
      <c r="K138" s="229"/>
      <c r="L138" s="230"/>
      <c r="M138" s="46">
        <v>2006.3</v>
      </c>
      <c r="N138" s="46">
        <v>2006.3</v>
      </c>
      <c r="O138" s="1502" t="s">
        <v>198</v>
      </c>
      <c r="P138" s="43">
        <v>3.7</v>
      </c>
      <c r="Q138" s="43">
        <v>3.7</v>
      </c>
      <c r="R138" s="44">
        <v>3.7</v>
      </c>
      <c r="U138" s="13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">
      <c r="A139" s="1444"/>
      <c r="B139" s="1553"/>
      <c r="C139" s="1556"/>
      <c r="D139" s="1545"/>
      <c r="E139" s="1448"/>
      <c r="F139" s="1449"/>
      <c r="G139" s="1520"/>
      <c r="H139" s="282"/>
      <c r="I139" s="233">
        <f>J139+L139</f>
        <v>0</v>
      </c>
      <c r="J139" s="219"/>
      <c r="K139" s="219"/>
      <c r="L139" s="220"/>
      <c r="M139" s="69"/>
      <c r="N139" s="69"/>
      <c r="O139" s="1468"/>
      <c r="P139" s="42"/>
      <c r="Q139" s="31"/>
      <c r="R139" s="144"/>
      <c r="U139" s="13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x14ac:dyDescent="0.2">
      <c r="A140" s="1444"/>
      <c r="B140" s="1553"/>
      <c r="C140" s="1556"/>
      <c r="D140" s="1545"/>
      <c r="E140" s="1448"/>
      <c r="F140" s="1449"/>
      <c r="G140" s="1520"/>
      <c r="H140" s="365"/>
      <c r="I140" s="215">
        <f>J140+L140</f>
        <v>0</v>
      </c>
      <c r="J140" s="224"/>
      <c r="K140" s="224"/>
      <c r="L140" s="225"/>
      <c r="M140" s="23"/>
      <c r="N140" s="23"/>
      <c r="O140" s="1468"/>
      <c r="P140" s="31"/>
      <c r="Q140" s="31"/>
      <c r="R140" s="144"/>
      <c r="U140" s="13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ht="13.5" thickBot="1" x14ac:dyDescent="0.25">
      <c r="A141" s="1484"/>
      <c r="B141" s="1554"/>
      <c r="C141" s="1557"/>
      <c r="D141" s="1559"/>
      <c r="E141" s="1579"/>
      <c r="F141" s="1539"/>
      <c r="G141" s="1521"/>
      <c r="H141" s="280" t="s">
        <v>10</v>
      </c>
      <c r="I141" s="242">
        <f t="shared" ref="I141:N141" si="12">SUM(I138:I140)</f>
        <v>1233.5</v>
      </c>
      <c r="J141" s="237">
        <f t="shared" si="12"/>
        <v>1233.5</v>
      </c>
      <c r="K141" s="237">
        <f t="shared" si="12"/>
        <v>0</v>
      </c>
      <c r="L141" s="237">
        <f t="shared" si="12"/>
        <v>0</v>
      </c>
      <c r="M141" s="278">
        <f t="shared" si="12"/>
        <v>2006.3</v>
      </c>
      <c r="N141" s="278">
        <f t="shared" si="12"/>
        <v>2006.3</v>
      </c>
      <c r="O141" s="1498"/>
      <c r="P141" s="633"/>
      <c r="Q141" s="633"/>
      <c r="R141" s="635"/>
      <c r="U141" s="13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x14ac:dyDescent="0.2">
      <c r="A142" s="1489" t="s">
        <v>9</v>
      </c>
      <c r="B142" s="1552" t="s">
        <v>38</v>
      </c>
      <c r="C142" s="1555" t="s">
        <v>11</v>
      </c>
      <c r="D142" s="1558" t="s">
        <v>39</v>
      </c>
      <c r="E142" s="1578"/>
      <c r="F142" s="1538" t="s">
        <v>41</v>
      </c>
      <c r="G142" s="1519" t="s">
        <v>40</v>
      </c>
      <c r="H142" s="281" t="s">
        <v>36</v>
      </c>
      <c r="I142" s="239">
        <f>J142+L142</f>
        <v>0</v>
      </c>
      <c r="J142" s="229"/>
      <c r="K142" s="229"/>
      <c r="L142" s="230"/>
      <c r="M142" s="46"/>
      <c r="N142" s="46"/>
      <c r="O142" s="1502" t="s">
        <v>106</v>
      </c>
      <c r="P142" s="632"/>
      <c r="Q142" s="632" t="s">
        <v>42</v>
      </c>
      <c r="R142" s="634" t="s">
        <v>42</v>
      </c>
      <c r="U142" s="13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">
      <c r="A143" s="1444"/>
      <c r="B143" s="1553"/>
      <c r="C143" s="1556"/>
      <c r="D143" s="1545"/>
      <c r="E143" s="1448"/>
      <c r="F143" s="1449"/>
      <c r="G143" s="1520"/>
      <c r="H143" s="282"/>
      <c r="I143" s="233">
        <f>J143+L143</f>
        <v>0</v>
      </c>
      <c r="J143" s="219">
        <v>0</v>
      </c>
      <c r="K143" s="219"/>
      <c r="L143" s="220"/>
      <c r="M143" s="69"/>
      <c r="N143" s="69"/>
      <c r="O143" s="1468"/>
      <c r="P143" s="31"/>
      <c r="Q143" s="31"/>
      <c r="R143" s="144"/>
      <c r="U143" s="13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ht="13.5" thickBot="1" x14ac:dyDescent="0.25">
      <c r="A144" s="1484"/>
      <c r="B144" s="1554"/>
      <c r="C144" s="1557"/>
      <c r="D144" s="1559"/>
      <c r="E144" s="1579"/>
      <c r="F144" s="1539"/>
      <c r="G144" s="1521"/>
      <c r="H144" s="280" t="s">
        <v>10</v>
      </c>
      <c r="I144" s="242">
        <f t="shared" ref="I144:N144" si="13">SUM(I142:I143)</f>
        <v>0</v>
      </c>
      <c r="J144" s="237">
        <f t="shared" si="13"/>
        <v>0</v>
      </c>
      <c r="K144" s="237">
        <f t="shared" si="13"/>
        <v>0</v>
      </c>
      <c r="L144" s="237">
        <f t="shared" si="13"/>
        <v>0</v>
      </c>
      <c r="M144" s="278">
        <f t="shared" si="13"/>
        <v>0</v>
      </c>
      <c r="N144" s="278">
        <f t="shared" si="13"/>
        <v>0</v>
      </c>
      <c r="O144" s="18"/>
      <c r="P144" s="633"/>
      <c r="Q144" s="633"/>
      <c r="R144" s="635"/>
      <c r="U144" s="13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x14ac:dyDescent="0.2">
      <c r="A145" s="1489" t="s">
        <v>9</v>
      </c>
      <c r="B145" s="1552" t="s">
        <v>38</v>
      </c>
      <c r="C145" s="1555" t="s">
        <v>38</v>
      </c>
      <c r="D145" s="1558" t="s">
        <v>43</v>
      </c>
      <c r="E145" s="1578"/>
      <c r="F145" s="1538" t="s">
        <v>44</v>
      </c>
      <c r="G145" s="1519" t="s">
        <v>40</v>
      </c>
      <c r="H145" s="281" t="s">
        <v>36</v>
      </c>
      <c r="I145" s="239">
        <f>J145+L145</f>
        <v>0</v>
      </c>
      <c r="J145" s="229"/>
      <c r="K145" s="229"/>
      <c r="L145" s="230"/>
      <c r="M145" s="46">
        <v>62</v>
      </c>
      <c r="N145" s="46">
        <v>62</v>
      </c>
      <c r="O145" s="1502" t="s">
        <v>45</v>
      </c>
      <c r="P145" s="632"/>
      <c r="Q145" s="632">
        <v>13</v>
      </c>
      <c r="R145" s="634">
        <v>13</v>
      </c>
      <c r="U145" s="13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">
      <c r="A146" s="1444"/>
      <c r="B146" s="1553"/>
      <c r="C146" s="1556"/>
      <c r="D146" s="1545"/>
      <c r="E146" s="1448"/>
      <c r="F146" s="1449"/>
      <c r="G146" s="1520"/>
      <c r="H146" s="282"/>
      <c r="I146" s="233">
        <f>J146+L146</f>
        <v>0</v>
      </c>
      <c r="J146" s="219"/>
      <c r="K146" s="219"/>
      <c r="L146" s="220"/>
      <c r="M146" s="69"/>
      <c r="N146" s="69"/>
      <c r="O146" s="1468"/>
      <c r="P146" s="31"/>
      <c r="Q146" s="31"/>
      <c r="R146" s="144"/>
      <c r="U146" s="13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ht="13.5" thickBot="1" x14ac:dyDescent="0.25">
      <c r="A147" s="1484"/>
      <c r="B147" s="1554"/>
      <c r="C147" s="1557"/>
      <c r="D147" s="1559"/>
      <c r="E147" s="1579"/>
      <c r="F147" s="1539"/>
      <c r="G147" s="1521"/>
      <c r="H147" s="280" t="s">
        <v>10</v>
      </c>
      <c r="I147" s="242">
        <f t="shared" ref="I147:N147" si="14">SUM(I145:I146)</f>
        <v>0</v>
      </c>
      <c r="J147" s="237">
        <f t="shared" si="14"/>
        <v>0</v>
      </c>
      <c r="K147" s="237">
        <f t="shared" si="14"/>
        <v>0</v>
      </c>
      <c r="L147" s="237">
        <f t="shared" si="14"/>
        <v>0</v>
      </c>
      <c r="M147" s="278">
        <f t="shared" si="14"/>
        <v>62</v>
      </c>
      <c r="N147" s="278">
        <f t="shared" si="14"/>
        <v>62</v>
      </c>
      <c r="O147" s="18"/>
      <c r="P147" s="633"/>
      <c r="Q147" s="633"/>
      <c r="R147" s="635"/>
      <c r="U147" s="13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x14ac:dyDescent="0.2">
      <c r="A148" s="1489" t="s">
        <v>9</v>
      </c>
      <c r="B148" s="1552" t="s">
        <v>38</v>
      </c>
      <c r="C148" s="1555" t="s">
        <v>53</v>
      </c>
      <c r="D148" s="1499" t="s">
        <v>146</v>
      </c>
      <c r="E148" s="1578"/>
      <c r="F148" s="1587" t="s">
        <v>44</v>
      </c>
      <c r="G148" s="1580" t="s">
        <v>40</v>
      </c>
      <c r="H148" s="366" t="s">
        <v>92</v>
      </c>
      <c r="I148" s="263">
        <f>+J148+L148</f>
        <v>0</v>
      </c>
      <c r="J148" s="264">
        <v>0</v>
      </c>
      <c r="K148" s="264"/>
      <c r="L148" s="265">
        <v>0</v>
      </c>
      <c r="M148" s="111">
        <v>50</v>
      </c>
      <c r="N148" s="110">
        <v>50</v>
      </c>
      <c r="O148" s="1528" t="s">
        <v>150</v>
      </c>
      <c r="P148" s="1583"/>
      <c r="Q148" s="1583"/>
      <c r="R148" s="1585">
        <v>1</v>
      </c>
      <c r="T148" s="13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ht="13.5" thickBot="1" x14ac:dyDescent="0.25">
      <c r="A149" s="1484"/>
      <c r="B149" s="1554"/>
      <c r="C149" s="1557"/>
      <c r="D149" s="1487"/>
      <c r="E149" s="1579"/>
      <c r="F149" s="1588"/>
      <c r="G149" s="1581"/>
      <c r="H149" s="280" t="s">
        <v>10</v>
      </c>
      <c r="I149" s="242">
        <f>+L149+J149</f>
        <v>0</v>
      </c>
      <c r="J149" s="242">
        <f>+J148</f>
        <v>0</v>
      </c>
      <c r="K149" s="242"/>
      <c r="L149" s="247">
        <f>+L148</f>
        <v>0</v>
      </c>
      <c r="M149" s="278">
        <f>+M148</f>
        <v>50</v>
      </c>
      <c r="N149" s="242">
        <f>+N148</f>
        <v>50</v>
      </c>
      <c r="O149" s="1582"/>
      <c r="P149" s="1584"/>
      <c r="Q149" s="1584"/>
      <c r="R149" s="1586"/>
      <c r="T149" s="13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ht="13.5" thickBot="1" x14ac:dyDescent="0.25">
      <c r="A150" s="99" t="s">
        <v>9</v>
      </c>
      <c r="B150" s="11" t="s">
        <v>38</v>
      </c>
      <c r="C150" s="1548" t="s">
        <v>12</v>
      </c>
      <c r="D150" s="1548"/>
      <c r="E150" s="1548"/>
      <c r="F150" s="1548"/>
      <c r="G150" s="1548"/>
      <c r="H150" s="1574"/>
      <c r="I150" s="24">
        <f t="shared" ref="I150:N150" si="15">SUM(I147,I144,I141,I149)</f>
        <v>1233.5</v>
      </c>
      <c r="J150" s="24">
        <f t="shared" si="15"/>
        <v>1233.5</v>
      </c>
      <c r="K150" s="24">
        <f t="shared" si="15"/>
        <v>0</v>
      </c>
      <c r="L150" s="24">
        <f t="shared" si="15"/>
        <v>0</v>
      </c>
      <c r="M150" s="24">
        <f t="shared" si="15"/>
        <v>2118.3000000000002</v>
      </c>
      <c r="N150" s="24">
        <f t="shared" si="15"/>
        <v>2118.3000000000002</v>
      </c>
      <c r="O150" s="1575"/>
      <c r="P150" s="1576"/>
      <c r="Q150" s="1576"/>
      <c r="R150" s="157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ht="13.5" thickBot="1" x14ac:dyDescent="0.25">
      <c r="A151" s="93" t="s">
        <v>9</v>
      </c>
      <c r="B151" s="11" t="s">
        <v>53</v>
      </c>
      <c r="C151" s="1589" t="s">
        <v>73</v>
      </c>
      <c r="D151" s="1590"/>
      <c r="E151" s="1590"/>
      <c r="F151" s="1590"/>
      <c r="G151" s="1590"/>
      <c r="H151" s="1590"/>
      <c r="I151" s="1590"/>
      <c r="J151" s="1590"/>
      <c r="K151" s="1590"/>
      <c r="L151" s="1590"/>
      <c r="M151" s="1590"/>
      <c r="N151" s="1590"/>
      <c r="O151" s="1590"/>
      <c r="P151" s="1590"/>
      <c r="Q151" s="1590"/>
      <c r="R151" s="1591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ht="25.5" x14ac:dyDescent="0.2">
      <c r="A152" s="619" t="s">
        <v>9</v>
      </c>
      <c r="B152" s="627" t="s">
        <v>53</v>
      </c>
      <c r="C152" s="647" t="s">
        <v>9</v>
      </c>
      <c r="D152" s="665" t="s">
        <v>166</v>
      </c>
      <c r="E152" s="505"/>
      <c r="F152" s="613"/>
      <c r="G152" s="615"/>
      <c r="H152" s="72"/>
      <c r="I152" s="266"/>
      <c r="J152" s="267"/>
      <c r="K152" s="268"/>
      <c r="L152" s="351"/>
      <c r="M152" s="370"/>
      <c r="N152" s="370"/>
      <c r="O152" s="73"/>
      <c r="P152" s="74"/>
      <c r="Q152" s="74"/>
      <c r="R152" s="634"/>
      <c r="S152" s="71"/>
      <c r="U152" s="13"/>
    </row>
    <row r="153" spans="1:32" x14ac:dyDescent="0.2">
      <c r="A153" s="1444"/>
      <c r="B153" s="1553"/>
      <c r="C153" s="1592"/>
      <c r="D153" s="1594" t="s">
        <v>134</v>
      </c>
      <c r="E153" s="1597" t="s">
        <v>91</v>
      </c>
      <c r="F153" s="1600" t="s">
        <v>54</v>
      </c>
      <c r="G153" s="1606" t="s">
        <v>90</v>
      </c>
      <c r="H153" s="511" t="s">
        <v>36</v>
      </c>
      <c r="I153" s="512">
        <v>200</v>
      </c>
      <c r="J153" s="513"/>
      <c r="K153" s="513"/>
      <c r="L153" s="530">
        <v>200</v>
      </c>
      <c r="M153" s="529">
        <v>100</v>
      </c>
      <c r="N153" s="514"/>
      <c r="O153" s="1609" t="s">
        <v>137</v>
      </c>
      <c r="P153" s="515"/>
      <c r="Q153" s="515"/>
      <c r="R153" s="125"/>
      <c r="U153" s="13"/>
    </row>
    <row r="154" spans="1:32" x14ac:dyDescent="0.2">
      <c r="A154" s="1444"/>
      <c r="B154" s="1553"/>
      <c r="C154" s="1592"/>
      <c r="D154" s="1595"/>
      <c r="E154" s="1598"/>
      <c r="F154" s="1601"/>
      <c r="G154" s="1607"/>
      <c r="H154" s="516"/>
      <c r="I154" s="517"/>
      <c r="J154" s="377"/>
      <c r="K154" s="377"/>
      <c r="L154" s="531"/>
      <c r="M154" s="518"/>
      <c r="N154" s="518"/>
      <c r="O154" s="1610"/>
      <c r="P154" s="519"/>
      <c r="Q154" s="520"/>
      <c r="R154" s="144"/>
      <c r="U154" s="13"/>
    </row>
    <row r="155" spans="1:32" ht="13.5" thickBot="1" x14ac:dyDescent="0.25">
      <c r="A155" s="1484"/>
      <c r="B155" s="1554"/>
      <c r="C155" s="1593"/>
      <c r="D155" s="1596"/>
      <c r="E155" s="1599"/>
      <c r="F155" s="1602"/>
      <c r="G155" s="1608"/>
      <c r="H155" s="521"/>
      <c r="I155" s="522"/>
      <c r="J155" s="523"/>
      <c r="K155" s="523"/>
      <c r="L155" s="532"/>
      <c r="M155" s="524"/>
      <c r="N155" s="524"/>
      <c r="O155" s="1611"/>
      <c r="P155" s="525">
        <v>50</v>
      </c>
      <c r="Q155" s="526">
        <v>50</v>
      </c>
      <c r="R155" s="635"/>
      <c r="U155" s="13"/>
    </row>
    <row r="156" spans="1:32" x14ac:dyDescent="0.2">
      <c r="A156" s="1612"/>
      <c r="B156" s="1614"/>
      <c r="C156" s="1616"/>
      <c r="D156" s="1499" t="s">
        <v>83</v>
      </c>
      <c r="E156" s="1578"/>
      <c r="F156" s="1538" t="s">
        <v>54</v>
      </c>
      <c r="G156" s="1604" t="s">
        <v>40</v>
      </c>
      <c r="H156" s="421" t="s">
        <v>36</v>
      </c>
      <c r="I156" s="266">
        <f>J156+L156</f>
        <v>265.7</v>
      </c>
      <c r="J156" s="268">
        <v>265.7</v>
      </c>
      <c r="K156" s="268"/>
      <c r="L156" s="351"/>
      <c r="M156" s="370">
        <v>266</v>
      </c>
      <c r="N156" s="370">
        <v>266</v>
      </c>
      <c r="O156" s="1502" t="s">
        <v>84</v>
      </c>
      <c r="P156" s="632">
        <v>285</v>
      </c>
      <c r="Q156" s="632">
        <v>285</v>
      </c>
      <c r="R156" s="634">
        <v>285</v>
      </c>
      <c r="W156" s="510"/>
    </row>
    <row r="157" spans="1:32" x14ac:dyDescent="0.2">
      <c r="A157" s="1613"/>
      <c r="B157" s="1615"/>
      <c r="C157" s="1592"/>
      <c r="D157" s="1476"/>
      <c r="E157" s="1448"/>
      <c r="F157" s="1449"/>
      <c r="G157" s="1605"/>
      <c r="H157" s="372"/>
      <c r="I157" s="316"/>
      <c r="J157" s="219"/>
      <c r="K157" s="219"/>
      <c r="L157" s="243"/>
      <c r="M157" s="103"/>
      <c r="N157" s="103"/>
      <c r="O157" s="1468"/>
      <c r="P157" s="31"/>
      <c r="Q157" s="31"/>
      <c r="R157" s="144"/>
    </row>
    <row r="158" spans="1:32" ht="26.25" thickBot="1" x14ac:dyDescent="0.25">
      <c r="A158" s="621"/>
      <c r="B158" s="629"/>
      <c r="C158" s="672"/>
      <c r="D158" s="468"/>
      <c r="E158" s="388"/>
      <c r="F158" s="614"/>
      <c r="G158" s="617"/>
      <c r="H158" s="283" t="s">
        <v>10</v>
      </c>
      <c r="I158" s="536" t="s">
        <v>208</v>
      </c>
      <c r="J158" s="528">
        <v>265.7</v>
      </c>
      <c r="K158" s="242">
        <f>K153+K156</f>
        <v>0</v>
      </c>
      <c r="L158" s="530">
        <v>200</v>
      </c>
      <c r="M158" s="535" t="s">
        <v>207</v>
      </c>
      <c r="N158" s="242">
        <f>N153+N156</f>
        <v>266</v>
      </c>
      <c r="O158" s="28"/>
      <c r="P158" s="633"/>
      <c r="Q158" s="33"/>
      <c r="R158" s="635"/>
      <c r="U158" s="13"/>
    </row>
    <row r="159" spans="1:32" ht="25.5" x14ac:dyDescent="0.2">
      <c r="A159" s="1489" t="s">
        <v>9</v>
      </c>
      <c r="B159" s="1552" t="s">
        <v>53</v>
      </c>
      <c r="C159" s="1617" t="s">
        <v>11</v>
      </c>
      <c r="D159" s="1499" t="s">
        <v>125</v>
      </c>
      <c r="E159" s="1525"/>
      <c r="F159" s="1620" t="s">
        <v>41</v>
      </c>
      <c r="G159" s="1483" t="s">
        <v>40</v>
      </c>
      <c r="H159" s="15" t="s">
        <v>36</v>
      </c>
      <c r="I159" s="239">
        <f>J159+L159</f>
        <v>48.6</v>
      </c>
      <c r="J159" s="229">
        <v>48.6</v>
      </c>
      <c r="K159" s="229"/>
      <c r="L159" s="240"/>
      <c r="M159" s="121">
        <v>44.7</v>
      </c>
      <c r="N159" s="46">
        <v>52.9</v>
      </c>
      <c r="O159" s="618" t="s">
        <v>127</v>
      </c>
      <c r="P159" s="632">
        <v>49</v>
      </c>
      <c r="Q159" s="632">
        <v>50</v>
      </c>
      <c r="R159" s="634">
        <v>49</v>
      </c>
      <c r="U159" s="13"/>
    </row>
    <row r="160" spans="1:32" x14ac:dyDescent="0.2">
      <c r="A160" s="1444"/>
      <c r="B160" s="1553"/>
      <c r="C160" s="1618"/>
      <c r="D160" s="1476"/>
      <c r="E160" s="1526"/>
      <c r="F160" s="1621"/>
      <c r="G160" s="1413"/>
      <c r="H160" s="145"/>
      <c r="I160" s="231"/>
      <c r="J160" s="224"/>
      <c r="K160" s="224"/>
      <c r="L160" s="244"/>
      <c r="M160" s="82"/>
      <c r="N160" s="23"/>
      <c r="O160" s="27" t="s">
        <v>126</v>
      </c>
      <c r="P160" s="31">
        <v>12</v>
      </c>
      <c r="Q160" s="32">
        <v>10</v>
      </c>
      <c r="R160" s="144">
        <v>13</v>
      </c>
      <c r="U160" s="13"/>
    </row>
    <row r="161" spans="1:23" ht="13.5" thickBot="1" x14ac:dyDescent="0.25">
      <c r="A161" s="1484"/>
      <c r="B161" s="1554"/>
      <c r="C161" s="1619"/>
      <c r="D161" s="1487"/>
      <c r="E161" s="1565"/>
      <c r="F161" s="1622"/>
      <c r="G161" s="1497"/>
      <c r="H161" s="283" t="s">
        <v>10</v>
      </c>
      <c r="I161" s="236">
        <f t="shared" ref="I161:N161" si="16">I159</f>
        <v>48.6</v>
      </c>
      <c r="J161" s="242">
        <f t="shared" si="16"/>
        <v>48.6</v>
      </c>
      <c r="K161" s="242">
        <f t="shared" si="16"/>
        <v>0</v>
      </c>
      <c r="L161" s="245">
        <f t="shared" si="16"/>
        <v>0</v>
      </c>
      <c r="M161" s="247">
        <f t="shared" si="16"/>
        <v>44.7</v>
      </c>
      <c r="N161" s="278">
        <f t="shared" si="16"/>
        <v>52.9</v>
      </c>
      <c r="O161" s="28"/>
      <c r="P161" s="633"/>
      <c r="Q161" s="33"/>
      <c r="R161" s="635"/>
      <c r="U161" s="13"/>
      <c r="W161" s="527"/>
    </row>
    <row r="162" spans="1:23" ht="26.25" thickBot="1" x14ac:dyDescent="0.25">
      <c r="A162" s="621" t="s">
        <v>9</v>
      </c>
      <c r="B162" s="629" t="s">
        <v>53</v>
      </c>
      <c r="C162" s="1603" t="s">
        <v>12</v>
      </c>
      <c r="D162" s="1548"/>
      <c r="E162" s="1548"/>
      <c r="F162" s="1548"/>
      <c r="G162" s="1548"/>
      <c r="H162" s="1574"/>
      <c r="I162" s="537" t="s">
        <v>209</v>
      </c>
      <c r="J162" s="24">
        <f>J161+J158</f>
        <v>314.3</v>
      </c>
      <c r="K162" s="24">
        <f>K161+K158</f>
        <v>0</v>
      </c>
      <c r="L162" s="533">
        <v>200</v>
      </c>
      <c r="M162" s="534" t="s">
        <v>206</v>
      </c>
      <c r="N162" s="24">
        <f>N161+N158</f>
        <v>318.89999999999998</v>
      </c>
      <c r="O162" s="137"/>
      <c r="P162" s="138"/>
      <c r="Q162" s="139"/>
      <c r="R162" s="140"/>
    </row>
    <row r="163" spans="1:23" ht="13.5" thickBot="1" x14ac:dyDescent="0.25">
      <c r="A163" s="93" t="s">
        <v>9</v>
      </c>
      <c r="B163" s="11" t="s">
        <v>109</v>
      </c>
      <c r="C163" s="1589" t="s">
        <v>110</v>
      </c>
      <c r="D163" s="1590"/>
      <c r="E163" s="1590"/>
      <c r="F163" s="1590"/>
      <c r="G163" s="1590"/>
      <c r="H163" s="1590"/>
      <c r="I163" s="1590"/>
      <c r="J163" s="1590"/>
      <c r="K163" s="1590"/>
      <c r="L163" s="1590"/>
      <c r="M163" s="1590"/>
      <c r="N163" s="1590"/>
      <c r="O163" s="1590"/>
      <c r="P163" s="1590"/>
      <c r="Q163" s="1590"/>
      <c r="R163" s="1591"/>
    </row>
    <row r="164" spans="1:23" ht="25.5" x14ac:dyDescent="0.2">
      <c r="A164" s="673" t="s">
        <v>9</v>
      </c>
      <c r="B164" s="674" t="s">
        <v>54</v>
      </c>
      <c r="C164" s="630" t="s">
        <v>9</v>
      </c>
      <c r="D164" s="119" t="s">
        <v>118</v>
      </c>
      <c r="E164" s="1641"/>
      <c r="F164" s="1644" t="s">
        <v>44</v>
      </c>
      <c r="G164" s="1647">
        <v>6</v>
      </c>
      <c r="H164" s="367" t="s">
        <v>36</v>
      </c>
      <c r="I164" s="340">
        <f>J164+L164</f>
        <v>12686.1</v>
      </c>
      <c r="J164" s="268">
        <v>12686.1</v>
      </c>
      <c r="K164" s="268"/>
      <c r="L164" s="351"/>
      <c r="M164" s="371">
        <v>13019</v>
      </c>
      <c r="N164" s="79">
        <v>13019</v>
      </c>
      <c r="O164" s="660" t="s">
        <v>124</v>
      </c>
      <c r="P164" s="124">
        <v>116</v>
      </c>
      <c r="Q164" s="124">
        <v>116</v>
      </c>
      <c r="R164" s="125">
        <v>116</v>
      </c>
    </row>
    <row r="165" spans="1:23" x14ac:dyDescent="0.2">
      <c r="A165" s="622"/>
      <c r="B165" s="623"/>
      <c r="C165" s="624"/>
      <c r="D165" s="120" t="s">
        <v>120</v>
      </c>
      <c r="E165" s="1642"/>
      <c r="F165" s="1645"/>
      <c r="G165" s="1648"/>
      <c r="H165" s="369"/>
      <c r="I165" s="246"/>
      <c r="J165" s="219"/>
      <c r="K165" s="219"/>
      <c r="L165" s="243"/>
      <c r="M165" s="375"/>
      <c r="N165" s="368"/>
      <c r="O165" s="631"/>
      <c r="P165" s="31"/>
      <c r="Q165" s="31"/>
      <c r="R165" s="144"/>
    </row>
    <row r="166" spans="1:23" x14ac:dyDescent="0.2">
      <c r="A166" s="622"/>
      <c r="B166" s="623"/>
      <c r="C166" s="624"/>
      <c r="D166" s="625" t="s">
        <v>121</v>
      </c>
      <c r="E166" s="1642"/>
      <c r="F166" s="1645"/>
      <c r="G166" s="1648"/>
      <c r="H166" s="369"/>
      <c r="I166" s="246"/>
      <c r="J166" s="219"/>
      <c r="K166" s="219"/>
      <c r="L166" s="243"/>
      <c r="M166" s="375"/>
      <c r="N166" s="368"/>
      <c r="O166" s="631"/>
      <c r="P166" s="31"/>
      <c r="Q166" s="31"/>
      <c r="R166" s="144"/>
    </row>
    <row r="167" spans="1:23" x14ac:dyDescent="0.2">
      <c r="A167" s="622"/>
      <c r="B167" s="623"/>
      <c r="C167" s="624"/>
      <c r="D167" s="120" t="s">
        <v>122</v>
      </c>
      <c r="E167" s="1642"/>
      <c r="F167" s="1645"/>
      <c r="G167" s="1648"/>
      <c r="H167" s="369"/>
      <c r="I167" s="246"/>
      <c r="J167" s="219"/>
      <c r="K167" s="219"/>
      <c r="L167" s="243"/>
      <c r="M167" s="375"/>
      <c r="N167" s="368"/>
      <c r="O167" s="631"/>
      <c r="P167" s="31"/>
      <c r="Q167" s="31"/>
      <c r="R167" s="144"/>
    </row>
    <row r="168" spans="1:23" s="52" customFormat="1" x14ac:dyDescent="0.2">
      <c r="A168" s="620"/>
      <c r="B168" s="628"/>
      <c r="C168" s="70"/>
      <c r="D168" s="120" t="s">
        <v>123</v>
      </c>
      <c r="E168" s="1642"/>
      <c r="F168" s="1645"/>
      <c r="G168" s="1648"/>
      <c r="H168" s="16"/>
      <c r="I168" s="376"/>
      <c r="J168" s="377"/>
      <c r="K168" s="378"/>
      <c r="L168" s="379"/>
      <c r="M168" s="375"/>
      <c r="N168" s="368"/>
      <c r="O168" s="631"/>
      <c r="P168" s="128"/>
      <c r="Q168" s="129"/>
      <c r="R168" s="132"/>
    </row>
    <row r="169" spans="1:23" x14ac:dyDescent="0.2">
      <c r="A169" s="1613"/>
      <c r="B169" s="1615"/>
      <c r="C169" s="1618"/>
      <c r="D169" s="1469" t="s">
        <v>119</v>
      </c>
      <c r="E169" s="1642"/>
      <c r="F169" s="1645"/>
      <c r="G169" s="1648"/>
      <c r="H169" s="372"/>
      <c r="I169" s="215"/>
      <c r="J169" s="216"/>
      <c r="K169" s="216"/>
      <c r="L169" s="232"/>
      <c r="M169" s="373"/>
      <c r="N169" s="374"/>
      <c r="O169" s="631"/>
      <c r="P169" s="31"/>
      <c r="Q169" s="31"/>
      <c r="R169" s="144"/>
    </row>
    <row r="170" spans="1:23" ht="13.5" thickBot="1" x14ac:dyDescent="0.25">
      <c r="A170" s="1652"/>
      <c r="B170" s="1653"/>
      <c r="C170" s="1619"/>
      <c r="D170" s="1654"/>
      <c r="E170" s="1643"/>
      <c r="F170" s="1646"/>
      <c r="G170" s="1649"/>
      <c r="H170" s="283" t="s">
        <v>10</v>
      </c>
      <c r="I170" s="270">
        <f t="shared" ref="I170:N170" si="17">SUM(I164:I169)</f>
        <v>12686.1</v>
      </c>
      <c r="J170" s="270">
        <f>SUM(J164:J169)</f>
        <v>12686.1</v>
      </c>
      <c r="K170" s="270">
        <f t="shared" si="17"/>
        <v>0</v>
      </c>
      <c r="L170" s="271">
        <f t="shared" si="17"/>
        <v>0</v>
      </c>
      <c r="M170" s="284">
        <f>SUM(M164:M169)</f>
        <v>13019</v>
      </c>
      <c r="N170" s="286">
        <f t="shared" si="17"/>
        <v>13019</v>
      </c>
      <c r="O170" s="28"/>
      <c r="P170" s="633"/>
      <c r="Q170" s="33"/>
      <c r="R170" s="635"/>
      <c r="U170" s="13"/>
    </row>
    <row r="171" spans="1:23" x14ac:dyDescent="0.2">
      <c r="A171" s="1489" t="s">
        <v>9</v>
      </c>
      <c r="B171" s="1552" t="s">
        <v>54</v>
      </c>
      <c r="C171" s="1617" t="s">
        <v>11</v>
      </c>
      <c r="D171" s="1499" t="s">
        <v>157</v>
      </c>
      <c r="E171" s="1525"/>
      <c r="F171" s="1620" t="s">
        <v>54</v>
      </c>
      <c r="G171" s="1483" t="s">
        <v>90</v>
      </c>
      <c r="H171" s="25" t="s">
        <v>36</v>
      </c>
      <c r="I171" s="233">
        <f>J171+L171</f>
        <v>39.299999999999997</v>
      </c>
      <c r="J171" s="222">
        <v>39.299999999999997</v>
      </c>
      <c r="K171" s="222"/>
      <c r="L171" s="234"/>
      <c r="M171" s="122">
        <v>56.9</v>
      </c>
      <c r="N171" s="51">
        <v>0</v>
      </c>
      <c r="O171" s="1639" t="s">
        <v>158</v>
      </c>
      <c r="P171" s="632">
        <v>1</v>
      </c>
      <c r="Q171" s="632"/>
      <c r="R171" s="634"/>
      <c r="U171" s="13"/>
    </row>
    <row r="172" spans="1:23" x14ac:dyDescent="0.2">
      <c r="A172" s="1444"/>
      <c r="B172" s="1553"/>
      <c r="C172" s="1618"/>
      <c r="D172" s="1476"/>
      <c r="E172" s="1526"/>
      <c r="F172" s="1621"/>
      <c r="G172" s="1413"/>
      <c r="H172" s="145"/>
      <c r="I172" s="231"/>
      <c r="J172" s="224"/>
      <c r="K172" s="224"/>
      <c r="L172" s="244"/>
      <c r="M172" s="82"/>
      <c r="N172" s="23"/>
      <c r="O172" s="1640"/>
      <c r="P172" s="31"/>
      <c r="Q172" s="32"/>
      <c r="R172" s="144"/>
      <c r="U172" s="13"/>
    </row>
    <row r="173" spans="1:23" ht="13.5" thickBot="1" x14ac:dyDescent="0.25">
      <c r="A173" s="1484"/>
      <c r="B173" s="1554"/>
      <c r="C173" s="1619"/>
      <c r="D173" s="1487"/>
      <c r="E173" s="1565"/>
      <c r="F173" s="1622"/>
      <c r="G173" s="1497"/>
      <c r="H173" s="283" t="s">
        <v>10</v>
      </c>
      <c r="I173" s="236">
        <f t="shared" ref="I173:N173" si="18">I171</f>
        <v>39.299999999999997</v>
      </c>
      <c r="J173" s="242">
        <f t="shared" si="18"/>
        <v>39.299999999999997</v>
      </c>
      <c r="K173" s="242">
        <f t="shared" si="18"/>
        <v>0</v>
      </c>
      <c r="L173" s="245">
        <f t="shared" si="18"/>
        <v>0</v>
      </c>
      <c r="M173" s="247">
        <f t="shared" si="18"/>
        <v>56.9</v>
      </c>
      <c r="N173" s="278">
        <f t="shared" si="18"/>
        <v>0</v>
      </c>
      <c r="O173" s="28"/>
      <c r="P173" s="633"/>
      <c r="Q173" s="33"/>
      <c r="R173" s="635"/>
      <c r="U173" s="13"/>
    </row>
    <row r="174" spans="1:23" s="52" customFormat="1" x14ac:dyDescent="0.2">
      <c r="A174" s="1489" t="s">
        <v>9</v>
      </c>
      <c r="B174" s="163" t="s">
        <v>54</v>
      </c>
      <c r="C174" s="164" t="s">
        <v>38</v>
      </c>
      <c r="D174" s="1499" t="s">
        <v>168</v>
      </c>
      <c r="E174" s="165"/>
      <c r="F174" s="166" t="s">
        <v>41</v>
      </c>
      <c r="G174" s="167">
        <v>6</v>
      </c>
      <c r="H174" s="151" t="s">
        <v>36</v>
      </c>
      <c r="I174" s="446">
        <f>J174</f>
        <v>3.5</v>
      </c>
      <c r="J174" s="447">
        <v>3.5</v>
      </c>
      <c r="K174" s="447"/>
      <c r="L174" s="448"/>
      <c r="M174" s="152"/>
      <c r="N174" s="153"/>
      <c r="O174" s="1650" t="s">
        <v>185</v>
      </c>
      <c r="P174" s="204">
        <v>100</v>
      </c>
      <c r="Q174" s="154"/>
      <c r="R174" s="155"/>
    </row>
    <row r="175" spans="1:23" s="52" customFormat="1" x14ac:dyDescent="0.2">
      <c r="A175" s="1444"/>
      <c r="B175" s="149"/>
      <c r="C175" s="150"/>
      <c r="D175" s="1476"/>
      <c r="E175" s="156"/>
      <c r="G175" s="157"/>
      <c r="H175" s="158"/>
      <c r="I175" s="449"/>
      <c r="J175" s="450"/>
      <c r="K175" s="450"/>
      <c r="L175" s="451"/>
      <c r="M175" s="152"/>
      <c r="N175" s="153"/>
      <c r="O175" s="1651"/>
      <c r="P175" s="159"/>
      <c r="Q175" s="159"/>
      <c r="R175" s="160"/>
    </row>
    <row r="176" spans="1:23" s="52" customFormat="1" ht="13.5" thickBot="1" x14ac:dyDescent="0.25">
      <c r="A176" s="1484"/>
      <c r="B176" s="168"/>
      <c r="C176" s="169"/>
      <c r="D176" s="1487"/>
      <c r="E176" s="170"/>
      <c r="F176" s="171"/>
      <c r="G176" s="172"/>
      <c r="H176" s="288" t="s">
        <v>10</v>
      </c>
      <c r="I176" s="452">
        <f>I174</f>
        <v>3.5</v>
      </c>
      <c r="J176" s="452">
        <f>J174</f>
        <v>3.5</v>
      </c>
      <c r="K176" s="453"/>
      <c r="L176" s="454">
        <f>SUM(L174:L175)</f>
        <v>0</v>
      </c>
      <c r="M176" s="289">
        <f>SUM(M174:M175)</f>
        <v>0</v>
      </c>
      <c r="N176" s="290">
        <f>SUM(N174:N175)</f>
        <v>0</v>
      </c>
      <c r="O176" s="1651"/>
      <c r="P176" s="205"/>
      <c r="Q176" s="161"/>
      <c r="R176" s="162"/>
    </row>
    <row r="177" spans="1:40" ht="13.5" thickBot="1" x14ac:dyDescent="0.25">
      <c r="A177" s="621" t="s">
        <v>9</v>
      </c>
      <c r="B177" s="629" t="s">
        <v>54</v>
      </c>
      <c r="C177" s="1626" t="s">
        <v>12</v>
      </c>
      <c r="D177" s="1627"/>
      <c r="E177" s="1627"/>
      <c r="F177" s="1627"/>
      <c r="G177" s="1627"/>
      <c r="H177" s="1574"/>
      <c r="I177" s="176">
        <f t="shared" ref="I177:N177" si="19">I173+I170+I176</f>
        <v>12728.9</v>
      </c>
      <c r="J177" s="24">
        <f t="shared" si="19"/>
        <v>12728.9</v>
      </c>
      <c r="K177" s="24">
        <f t="shared" si="19"/>
        <v>0</v>
      </c>
      <c r="L177" s="177">
        <f t="shared" si="19"/>
        <v>0</v>
      </c>
      <c r="M177" s="441">
        <f>M173+M170+M176</f>
        <v>13075.9</v>
      </c>
      <c r="N177" s="441">
        <f t="shared" si="19"/>
        <v>13019</v>
      </c>
      <c r="O177" s="1575"/>
      <c r="P177" s="1576"/>
      <c r="Q177" s="1576"/>
      <c r="R177" s="1577"/>
    </row>
    <row r="178" spans="1:40" ht="27.75" customHeight="1" thickBot="1" x14ac:dyDescent="0.25">
      <c r="A178" s="99" t="s">
        <v>9</v>
      </c>
      <c r="B178" s="1628" t="s">
        <v>13</v>
      </c>
      <c r="C178" s="1629"/>
      <c r="D178" s="1629"/>
      <c r="E178" s="1629"/>
      <c r="F178" s="1629"/>
      <c r="G178" s="1629"/>
      <c r="H178" s="1630"/>
      <c r="I178" s="443">
        <v>34965.800000000003</v>
      </c>
      <c r="J178" s="555" t="s">
        <v>217</v>
      </c>
      <c r="K178" s="442">
        <f>SUM(K110,K136,K150,K162,K177)</f>
        <v>742.7</v>
      </c>
      <c r="L178" s="556" t="s">
        <v>218</v>
      </c>
      <c r="M178" s="557" t="s">
        <v>219</v>
      </c>
      <c r="N178" s="101">
        <f>SUM(N110,N136,N150,N162,N177)</f>
        <v>37729.699999999997</v>
      </c>
      <c r="O178" s="1631"/>
      <c r="P178" s="1632"/>
      <c r="Q178" s="1632"/>
      <c r="R178" s="1633"/>
    </row>
    <row r="179" spans="1:40" ht="32.25" customHeight="1" thickBot="1" x14ac:dyDescent="0.25">
      <c r="A179" s="102" t="s">
        <v>55</v>
      </c>
      <c r="B179" s="1634" t="s">
        <v>128</v>
      </c>
      <c r="C179" s="1635"/>
      <c r="D179" s="1635"/>
      <c r="E179" s="1635"/>
      <c r="F179" s="1635"/>
      <c r="G179" s="1635"/>
      <c r="H179" s="1635"/>
      <c r="I179" s="287">
        <f>SUM(I178)</f>
        <v>34965.800000000003</v>
      </c>
      <c r="J179" s="561" t="s">
        <v>217</v>
      </c>
      <c r="K179" s="558">
        <f>SUM(K178)</f>
        <v>742.7</v>
      </c>
      <c r="L179" s="562" t="s">
        <v>218</v>
      </c>
      <c r="M179" s="559" t="s">
        <v>219</v>
      </c>
      <c r="N179" s="560">
        <f>SUM(N178)</f>
        <v>37729.699999999997</v>
      </c>
      <c r="O179" s="1636"/>
      <c r="P179" s="1637"/>
      <c r="Q179" s="1637"/>
      <c r="R179" s="1638"/>
    </row>
    <row r="180" spans="1:40" s="22" customFormat="1" ht="19.5" customHeight="1" x14ac:dyDescent="0.2">
      <c r="A180" s="1623"/>
      <c r="B180" s="1623"/>
      <c r="C180" s="1623"/>
      <c r="D180" s="1623"/>
      <c r="E180" s="1623"/>
      <c r="F180" s="1623"/>
      <c r="G180" s="1623"/>
      <c r="H180" s="1623"/>
      <c r="I180" s="1623"/>
      <c r="J180" s="1623"/>
      <c r="K180" s="1623"/>
      <c r="L180" s="1623"/>
      <c r="M180" s="1623"/>
      <c r="N180" s="1623"/>
      <c r="O180" s="1623"/>
      <c r="P180" s="1623"/>
      <c r="Q180" s="1623"/>
      <c r="R180" s="1623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1:40" s="22" customFormat="1" ht="14.25" customHeight="1" x14ac:dyDescent="0.2">
      <c r="A181" s="1623"/>
      <c r="B181" s="1623"/>
      <c r="C181" s="1623"/>
      <c r="D181" s="1623"/>
      <c r="E181" s="1623"/>
      <c r="F181" s="1623"/>
      <c r="G181" s="1623"/>
      <c r="H181" s="1623"/>
      <c r="I181" s="1623"/>
      <c r="J181" s="1623"/>
      <c r="K181" s="1623"/>
      <c r="L181" s="1623"/>
      <c r="M181" s="62"/>
      <c r="N181" s="62"/>
      <c r="O181" s="62"/>
      <c r="P181" s="62"/>
      <c r="Q181" s="62"/>
      <c r="R181" s="62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1:40" x14ac:dyDescent="0.2">
      <c r="I182" s="57"/>
      <c r="J182" s="291"/>
      <c r="K182" s="291"/>
      <c r="L182" s="291"/>
      <c r="M182" s="291"/>
      <c r="N182" s="57"/>
      <c r="O182" s="80"/>
      <c r="P182" s="5"/>
      <c r="Q182" s="5"/>
      <c r="R182" s="5"/>
    </row>
    <row r="183" spans="1:40" x14ac:dyDescent="0.2">
      <c r="I183" s="444"/>
      <c r="J183" s="445"/>
      <c r="K183" s="80"/>
      <c r="P183" s="5"/>
      <c r="Q183" s="5"/>
      <c r="R183" s="5"/>
    </row>
    <row r="184" spans="1:40" x14ac:dyDescent="0.2">
      <c r="J184" s="291"/>
      <c r="M184" s="380"/>
      <c r="P184" s="5"/>
      <c r="Q184" s="5"/>
      <c r="R184" s="5"/>
    </row>
  </sheetData>
  <mergeCells count="396">
    <mergeCell ref="O1:R1"/>
    <mergeCell ref="A2:R2"/>
    <mergeCell ref="A3:R3"/>
    <mergeCell ref="A4:R4"/>
    <mergeCell ref="P5:R5"/>
    <mergeCell ref="A6:A8"/>
    <mergeCell ref="B6:B8"/>
    <mergeCell ref="C6:C8"/>
    <mergeCell ref="D6:D8"/>
    <mergeCell ref="E6:E8"/>
    <mergeCell ref="O6:R6"/>
    <mergeCell ref="I7:I8"/>
    <mergeCell ref="J7:K7"/>
    <mergeCell ref="L7:L8"/>
    <mergeCell ref="O7:O8"/>
    <mergeCell ref="P7:R7"/>
    <mergeCell ref="F6:F8"/>
    <mergeCell ref="G6:G8"/>
    <mergeCell ref="H6:H8"/>
    <mergeCell ref="I6:L6"/>
    <mergeCell ref="M6:M8"/>
    <mergeCell ref="N6:N8"/>
    <mergeCell ref="A9:R9"/>
    <mergeCell ref="A10:R10"/>
    <mergeCell ref="B11:R11"/>
    <mergeCell ref="C12:R12"/>
    <mergeCell ref="A13:A14"/>
    <mergeCell ref="B13:B14"/>
    <mergeCell ref="C13:C14"/>
    <mergeCell ref="D13:D14"/>
    <mergeCell ref="E13:E14"/>
    <mergeCell ref="F13:F14"/>
    <mergeCell ref="G13:G14"/>
    <mergeCell ref="O13:O14"/>
    <mergeCell ref="P13:P14"/>
    <mergeCell ref="Q13:Q14"/>
    <mergeCell ref="R13:R14"/>
    <mergeCell ref="A15:A16"/>
    <mergeCell ref="B15:B16"/>
    <mergeCell ref="C15:C16"/>
    <mergeCell ref="D15:D16"/>
    <mergeCell ref="E15:E16"/>
    <mergeCell ref="F15:F16"/>
    <mergeCell ref="G15:G16"/>
    <mergeCell ref="O15:O16"/>
    <mergeCell ref="A17:A18"/>
    <mergeCell ref="B17:B18"/>
    <mergeCell ref="C17:C18"/>
    <mergeCell ref="D17:D18"/>
    <mergeCell ref="E17:E18"/>
    <mergeCell ref="F17:F18"/>
    <mergeCell ref="G17:G18"/>
    <mergeCell ref="O17:O18"/>
    <mergeCell ref="A19:A25"/>
    <mergeCell ref="B19:B25"/>
    <mergeCell ref="C19:C25"/>
    <mergeCell ref="D19:D25"/>
    <mergeCell ref="E19:E25"/>
    <mergeCell ref="F19:F25"/>
    <mergeCell ref="G19:G25"/>
    <mergeCell ref="O19:O20"/>
    <mergeCell ref="O30:O31"/>
    <mergeCell ref="A33:A34"/>
    <mergeCell ref="B33:B34"/>
    <mergeCell ref="C33:C34"/>
    <mergeCell ref="D33:D34"/>
    <mergeCell ref="E33:E34"/>
    <mergeCell ref="F33:F34"/>
    <mergeCell ref="G33:G34"/>
    <mergeCell ref="D26:D27"/>
    <mergeCell ref="E26:E27"/>
    <mergeCell ref="D28:D29"/>
    <mergeCell ref="E28:E29"/>
    <mergeCell ref="D30:D31"/>
    <mergeCell ref="E30:E31"/>
    <mergeCell ref="P40:P41"/>
    <mergeCell ref="Q40:Q41"/>
    <mergeCell ref="R40:R41"/>
    <mergeCell ref="G35:G38"/>
    <mergeCell ref="O37:O38"/>
    <mergeCell ref="P37:P38"/>
    <mergeCell ref="Q37:Q38"/>
    <mergeCell ref="R37:R38"/>
    <mergeCell ref="A39:A41"/>
    <mergeCell ref="B39:B41"/>
    <mergeCell ref="C39:C41"/>
    <mergeCell ref="D39:D41"/>
    <mergeCell ref="E39:E41"/>
    <mergeCell ref="A35:A38"/>
    <mergeCell ref="B35:B38"/>
    <mergeCell ref="C35:C38"/>
    <mergeCell ref="D35:D38"/>
    <mergeCell ref="E35:E38"/>
    <mergeCell ref="F35:F38"/>
    <mergeCell ref="O43:O44"/>
    <mergeCell ref="A45:A46"/>
    <mergeCell ref="B45:B46"/>
    <mergeCell ref="C45:C46"/>
    <mergeCell ref="D45:D46"/>
    <mergeCell ref="E45:E49"/>
    <mergeCell ref="F39:F41"/>
    <mergeCell ref="G39:G41"/>
    <mergeCell ref="O40:O41"/>
    <mergeCell ref="F45:F46"/>
    <mergeCell ref="G45:G46"/>
    <mergeCell ref="A47:A49"/>
    <mergeCell ref="B47:B49"/>
    <mergeCell ref="C47:C49"/>
    <mergeCell ref="D47:D49"/>
    <mergeCell ref="F47:F49"/>
    <mergeCell ref="G47:G49"/>
    <mergeCell ref="D42:D44"/>
    <mergeCell ref="E42:E44"/>
    <mergeCell ref="F42:F44"/>
    <mergeCell ref="G42:G44"/>
    <mergeCell ref="O48:O49"/>
    <mergeCell ref="A50:A51"/>
    <mergeCell ref="B50:B51"/>
    <mergeCell ref="C50:C51"/>
    <mergeCell ref="D50:D51"/>
    <mergeCell ref="E50:E51"/>
    <mergeCell ref="F50:F51"/>
    <mergeCell ref="G50:G51"/>
    <mergeCell ref="O50:O51"/>
    <mergeCell ref="G52:G53"/>
    <mergeCell ref="O52:O53"/>
    <mergeCell ref="D54:D56"/>
    <mergeCell ref="O54:O55"/>
    <mergeCell ref="O59:O60"/>
    <mergeCell ref="D60:D61"/>
    <mergeCell ref="A52:A53"/>
    <mergeCell ref="B52:B53"/>
    <mergeCell ref="C52:C53"/>
    <mergeCell ref="D52:D53"/>
    <mergeCell ref="E52:E53"/>
    <mergeCell ref="F52:F53"/>
    <mergeCell ref="A64:A66"/>
    <mergeCell ref="B64:B66"/>
    <mergeCell ref="C64:C66"/>
    <mergeCell ref="D64:D66"/>
    <mergeCell ref="E64:E66"/>
    <mergeCell ref="A62:A63"/>
    <mergeCell ref="B62:B63"/>
    <mergeCell ref="C62:C63"/>
    <mergeCell ref="D62:D63"/>
    <mergeCell ref="E62:E63"/>
    <mergeCell ref="F64:F66"/>
    <mergeCell ref="G64:G66"/>
    <mergeCell ref="O64:O65"/>
    <mergeCell ref="P64:P65"/>
    <mergeCell ref="Q64:Q65"/>
    <mergeCell ref="R64:R65"/>
    <mergeCell ref="G62:G63"/>
    <mergeCell ref="O62:O63"/>
    <mergeCell ref="P62:P63"/>
    <mergeCell ref="Q62:Q63"/>
    <mergeCell ref="R62:R63"/>
    <mergeCell ref="F62:F63"/>
    <mergeCell ref="G67:G70"/>
    <mergeCell ref="O67:O68"/>
    <mergeCell ref="P67:P68"/>
    <mergeCell ref="Q67:Q68"/>
    <mergeCell ref="R67:R68"/>
    <mergeCell ref="A71:A72"/>
    <mergeCell ref="B71:B72"/>
    <mergeCell ref="C71:C72"/>
    <mergeCell ref="D71:D72"/>
    <mergeCell ref="E71:E72"/>
    <mergeCell ref="A67:A70"/>
    <mergeCell ref="B67:B70"/>
    <mergeCell ref="C67:C70"/>
    <mergeCell ref="D67:D70"/>
    <mergeCell ref="E67:E70"/>
    <mergeCell ref="F67:F70"/>
    <mergeCell ref="F71:F72"/>
    <mergeCell ref="G71:G72"/>
    <mergeCell ref="A73:A74"/>
    <mergeCell ref="B73:B74"/>
    <mergeCell ref="C73:C74"/>
    <mergeCell ref="D73:D74"/>
    <mergeCell ref="E73:E74"/>
    <mergeCell ref="F73:F74"/>
    <mergeCell ref="G73:G74"/>
    <mergeCell ref="G76:G77"/>
    <mergeCell ref="O76:O77"/>
    <mergeCell ref="A78:A81"/>
    <mergeCell ref="B78:B81"/>
    <mergeCell ref="C78:C81"/>
    <mergeCell ref="D78:D81"/>
    <mergeCell ref="E78:E81"/>
    <mergeCell ref="F78:F81"/>
    <mergeCell ref="G78:G81"/>
    <mergeCell ref="O78:O79"/>
    <mergeCell ref="A76:A77"/>
    <mergeCell ref="B76:B77"/>
    <mergeCell ref="C76:C77"/>
    <mergeCell ref="D76:D77"/>
    <mergeCell ref="E76:E77"/>
    <mergeCell ref="F76:F77"/>
    <mergeCell ref="O82:O83"/>
    <mergeCell ref="P82:P83"/>
    <mergeCell ref="Q82:Q83"/>
    <mergeCell ref="R82:R83"/>
    <mergeCell ref="O84:O85"/>
    <mergeCell ref="O86:O87"/>
    <mergeCell ref="A82:A87"/>
    <mergeCell ref="B82:B87"/>
    <mergeCell ref="C82:C87"/>
    <mergeCell ref="D82:D87"/>
    <mergeCell ref="E82:E83"/>
    <mergeCell ref="F82:F87"/>
    <mergeCell ref="G88:G89"/>
    <mergeCell ref="A91:A94"/>
    <mergeCell ref="B91:B94"/>
    <mergeCell ref="C91:C94"/>
    <mergeCell ref="D91:D94"/>
    <mergeCell ref="E91:E94"/>
    <mergeCell ref="F91:F94"/>
    <mergeCell ref="G91:G94"/>
    <mergeCell ref="A88:A90"/>
    <mergeCell ref="B88:B90"/>
    <mergeCell ref="C88:C90"/>
    <mergeCell ref="D88:D90"/>
    <mergeCell ref="E88:E90"/>
    <mergeCell ref="F88:F90"/>
    <mergeCell ref="O91:O93"/>
    <mergeCell ref="D95:D96"/>
    <mergeCell ref="O95:O96"/>
    <mergeCell ref="A102:A105"/>
    <mergeCell ref="B102:B105"/>
    <mergeCell ref="C102:C105"/>
    <mergeCell ref="D102:D105"/>
    <mergeCell ref="E102:E105"/>
    <mergeCell ref="F102:F105"/>
    <mergeCell ref="G102:G105"/>
    <mergeCell ref="O102:O103"/>
    <mergeCell ref="O104:O105"/>
    <mergeCell ref="A106:A109"/>
    <mergeCell ref="B106:B109"/>
    <mergeCell ref="C106:C109"/>
    <mergeCell ref="D106:D109"/>
    <mergeCell ref="E106:E109"/>
    <mergeCell ref="F106:F109"/>
    <mergeCell ref="G106:G109"/>
    <mergeCell ref="O106:O107"/>
    <mergeCell ref="O108:O109"/>
    <mergeCell ref="G116:G118"/>
    <mergeCell ref="O116:O118"/>
    <mergeCell ref="G119:G123"/>
    <mergeCell ref="O119:O120"/>
    <mergeCell ref="O121:O122"/>
    <mergeCell ref="C110:H110"/>
    <mergeCell ref="C111:R111"/>
    <mergeCell ref="A112:A115"/>
    <mergeCell ref="B112:B115"/>
    <mergeCell ref="C112:C115"/>
    <mergeCell ref="D112:D115"/>
    <mergeCell ref="E112:E115"/>
    <mergeCell ref="F112:F115"/>
    <mergeCell ref="G112:G115"/>
    <mergeCell ref="O112:O114"/>
    <mergeCell ref="A119:A123"/>
    <mergeCell ref="B119:B123"/>
    <mergeCell ref="C119:C123"/>
    <mergeCell ref="D119:D123"/>
    <mergeCell ref="E119:E123"/>
    <mergeCell ref="F119:F123"/>
    <mergeCell ref="A116:A118"/>
    <mergeCell ref="B116:B118"/>
    <mergeCell ref="C116:C118"/>
    <mergeCell ref="D116:D118"/>
    <mergeCell ref="E116:E118"/>
    <mergeCell ref="F116:F118"/>
    <mergeCell ref="P127:P128"/>
    <mergeCell ref="A130:A132"/>
    <mergeCell ref="B130:B132"/>
    <mergeCell ref="C130:C132"/>
    <mergeCell ref="D130:D132"/>
    <mergeCell ref="E130:E132"/>
    <mergeCell ref="F130:F132"/>
    <mergeCell ref="G130:G132"/>
    <mergeCell ref="O124:O125"/>
    <mergeCell ref="A127:A129"/>
    <mergeCell ref="B127:B129"/>
    <mergeCell ref="C127:C129"/>
    <mergeCell ref="D127:D129"/>
    <mergeCell ref="E127:E129"/>
    <mergeCell ref="F127:F129"/>
    <mergeCell ref="G127:G129"/>
    <mergeCell ref="O127:O129"/>
    <mergeCell ref="A124:A126"/>
    <mergeCell ref="B124:B126"/>
    <mergeCell ref="C124:C126"/>
    <mergeCell ref="D124:D126"/>
    <mergeCell ref="E124:E126"/>
    <mergeCell ref="F124:F126"/>
    <mergeCell ref="G124:G126"/>
    <mergeCell ref="G133:G135"/>
    <mergeCell ref="C136:H136"/>
    <mergeCell ref="O136:R136"/>
    <mergeCell ref="C137:R137"/>
    <mergeCell ref="A138:A141"/>
    <mergeCell ref="B138:B141"/>
    <mergeCell ref="C138:C141"/>
    <mergeCell ref="D138:D141"/>
    <mergeCell ref="E138:E141"/>
    <mergeCell ref="F138:F141"/>
    <mergeCell ref="A133:A135"/>
    <mergeCell ref="B133:B135"/>
    <mergeCell ref="C133:C135"/>
    <mergeCell ref="D133:D135"/>
    <mergeCell ref="E133:E135"/>
    <mergeCell ref="F133:F135"/>
    <mergeCell ref="G138:G141"/>
    <mergeCell ref="O138:O141"/>
    <mergeCell ref="A142:A144"/>
    <mergeCell ref="B142:B144"/>
    <mergeCell ref="C142:C144"/>
    <mergeCell ref="D142:D144"/>
    <mergeCell ref="E142:E144"/>
    <mergeCell ref="F142:F144"/>
    <mergeCell ref="G142:G144"/>
    <mergeCell ref="O142:O143"/>
    <mergeCell ref="P148:P149"/>
    <mergeCell ref="Q148:Q149"/>
    <mergeCell ref="R148:R149"/>
    <mergeCell ref="C150:H150"/>
    <mergeCell ref="O150:R150"/>
    <mergeCell ref="C151:R151"/>
    <mergeCell ref="G145:G147"/>
    <mergeCell ref="O145:O146"/>
    <mergeCell ref="A148:A149"/>
    <mergeCell ref="B148:B149"/>
    <mergeCell ref="C148:C149"/>
    <mergeCell ref="D148:D149"/>
    <mergeCell ref="E148:E149"/>
    <mergeCell ref="F148:F149"/>
    <mergeCell ref="G148:G149"/>
    <mergeCell ref="O148:O149"/>
    <mergeCell ref="A145:A147"/>
    <mergeCell ref="B145:B147"/>
    <mergeCell ref="C145:C147"/>
    <mergeCell ref="D145:D147"/>
    <mergeCell ref="E145:E147"/>
    <mergeCell ref="F145:F147"/>
    <mergeCell ref="G153:G155"/>
    <mergeCell ref="O153:O155"/>
    <mergeCell ref="A156:A157"/>
    <mergeCell ref="B156:B157"/>
    <mergeCell ref="C156:C157"/>
    <mergeCell ref="D156:D157"/>
    <mergeCell ref="E156:E157"/>
    <mergeCell ref="F156:F157"/>
    <mergeCell ref="G156:G157"/>
    <mergeCell ref="O156:O157"/>
    <mergeCell ref="A153:A155"/>
    <mergeCell ref="B153:B155"/>
    <mergeCell ref="C153:C155"/>
    <mergeCell ref="D153:D155"/>
    <mergeCell ref="E153:E155"/>
    <mergeCell ref="F153:F155"/>
    <mergeCell ref="A169:A170"/>
    <mergeCell ref="B169:B170"/>
    <mergeCell ref="C169:C170"/>
    <mergeCell ref="D169:D170"/>
    <mergeCell ref="A171:A173"/>
    <mergeCell ref="B171:B173"/>
    <mergeCell ref="C171:C173"/>
    <mergeCell ref="D171:D173"/>
    <mergeCell ref="G159:G161"/>
    <mergeCell ref="C162:H162"/>
    <mergeCell ref="C163:R163"/>
    <mergeCell ref="E164:E170"/>
    <mergeCell ref="F164:F170"/>
    <mergeCell ref="G164:G170"/>
    <mergeCell ref="A159:A161"/>
    <mergeCell ref="B159:B161"/>
    <mergeCell ref="C159:C161"/>
    <mergeCell ref="D159:D161"/>
    <mergeCell ref="E159:E161"/>
    <mergeCell ref="F159:F161"/>
    <mergeCell ref="A180:R180"/>
    <mergeCell ref="A181:L181"/>
    <mergeCell ref="C177:H177"/>
    <mergeCell ref="O177:R177"/>
    <mergeCell ref="B178:H178"/>
    <mergeCell ref="O178:R178"/>
    <mergeCell ref="B179:H179"/>
    <mergeCell ref="O179:R179"/>
    <mergeCell ref="E171:E173"/>
    <mergeCell ref="F171:F173"/>
    <mergeCell ref="G171:G173"/>
    <mergeCell ref="O171:O172"/>
    <mergeCell ref="A174:A176"/>
    <mergeCell ref="D174:D176"/>
    <mergeCell ref="O174:O17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6"/>
  <sheetViews>
    <sheetView topLeftCell="A43" zoomScaleNormal="100" zoomScaleSheetLayoutView="100" workbookViewId="0">
      <selection activeCell="K151" sqref="K151"/>
    </sheetView>
  </sheetViews>
  <sheetFormatPr defaultRowHeight="12.75" x14ac:dyDescent="0.2"/>
  <cols>
    <col min="1" max="3" width="2.7109375" style="10" customWidth="1"/>
    <col min="4" max="4" width="32.140625" style="10" customWidth="1"/>
    <col min="5" max="5" width="2.7109375" style="47" customWidth="1"/>
    <col min="6" max="6" width="2.7109375" style="64" customWidth="1"/>
    <col min="7" max="7" width="6.85546875" style="90" customWidth="1"/>
    <col min="8" max="8" width="9.5703125" style="90" customWidth="1"/>
    <col min="9" max="9" width="10.140625" style="10" customWidth="1"/>
    <col min="10" max="10" width="9.85546875" style="10" customWidth="1"/>
    <col min="11" max="11" width="37.140625" style="10" customWidth="1"/>
    <col min="12" max="12" width="5.28515625" style="10" customWidth="1"/>
    <col min="13" max="13" width="4.85546875" style="10" customWidth="1"/>
    <col min="14" max="14" width="5.5703125" style="10" customWidth="1"/>
    <col min="15" max="16384" width="9.140625" style="5"/>
  </cols>
  <sheetData>
    <row r="1" spans="1:16" ht="15.75" x14ac:dyDescent="0.2">
      <c r="A1" s="1382" t="s">
        <v>300</v>
      </c>
      <c r="B1" s="1382"/>
      <c r="C1" s="1382"/>
      <c r="D1" s="1382"/>
      <c r="E1" s="1382"/>
      <c r="F1" s="1382"/>
      <c r="G1" s="1382"/>
      <c r="H1" s="1382"/>
      <c r="I1" s="1382"/>
      <c r="J1" s="1382"/>
      <c r="K1" s="1382"/>
      <c r="L1" s="1382"/>
      <c r="M1" s="1382"/>
      <c r="N1" s="1382"/>
    </row>
    <row r="2" spans="1:16" ht="15.75" x14ac:dyDescent="0.2">
      <c r="A2" s="1383" t="s">
        <v>37</v>
      </c>
      <c r="B2" s="1383"/>
      <c r="C2" s="1383"/>
      <c r="D2" s="1383"/>
      <c r="E2" s="1383"/>
      <c r="F2" s="1383"/>
      <c r="G2" s="1383"/>
      <c r="H2" s="1383"/>
      <c r="I2" s="1383"/>
      <c r="J2" s="1383"/>
      <c r="K2" s="1383"/>
      <c r="L2" s="1383"/>
      <c r="M2" s="1383"/>
      <c r="N2" s="1383"/>
    </row>
    <row r="3" spans="1:16" ht="15.75" x14ac:dyDescent="0.2">
      <c r="A3" s="1384" t="s">
        <v>23</v>
      </c>
      <c r="B3" s="1384"/>
      <c r="C3" s="1384"/>
      <c r="D3" s="1384"/>
      <c r="E3" s="1384"/>
      <c r="F3" s="1384"/>
      <c r="G3" s="1384"/>
      <c r="H3" s="1384"/>
      <c r="I3" s="1384"/>
      <c r="J3" s="1384"/>
      <c r="K3" s="1384"/>
      <c r="L3" s="1384"/>
      <c r="M3" s="1384"/>
      <c r="N3" s="1384"/>
      <c r="O3" s="1"/>
      <c r="P3" s="1"/>
    </row>
    <row r="4" spans="1:16" ht="13.5" thickBot="1" x14ac:dyDescent="0.25">
      <c r="L4" s="1385" t="s">
        <v>298</v>
      </c>
      <c r="M4" s="1385"/>
      <c r="N4" s="1385"/>
    </row>
    <row r="5" spans="1:16" ht="31.5" customHeight="1" x14ac:dyDescent="0.2">
      <c r="A5" s="1659" t="s">
        <v>24</v>
      </c>
      <c r="B5" s="1662" t="s">
        <v>1</v>
      </c>
      <c r="C5" s="1662" t="s">
        <v>2</v>
      </c>
      <c r="D5" s="1665" t="s">
        <v>16</v>
      </c>
      <c r="E5" s="1668" t="s">
        <v>3</v>
      </c>
      <c r="F5" s="1682" t="s">
        <v>4</v>
      </c>
      <c r="G5" s="1688" t="s">
        <v>5</v>
      </c>
      <c r="H5" s="1685" t="s">
        <v>226</v>
      </c>
      <c r="I5" s="1676" t="s">
        <v>142</v>
      </c>
      <c r="J5" s="1676" t="s">
        <v>227</v>
      </c>
      <c r="K5" s="1679" t="s">
        <v>15</v>
      </c>
      <c r="L5" s="1680"/>
      <c r="M5" s="1680"/>
      <c r="N5" s="1681"/>
    </row>
    <row r="6" spans="1:16" ht="15.75" customHeight="1" x14ac:dyDescent="0.2">
      <c r="A6" s="1660"/>
      <c r="B6" s="1663"/>
      <c r="C6" s="1663"/>
      <c r="D6" s="1666"/>
      <c r="E6" s="1669"/>
      <c r="F6" s="1683"/>
      <c r="G6" s="1689"/>
      <c r="H6" s="1686"/>
      <c r="I6" s="1677"/>
      <c r="J6" s="1677"/>
      <c r="K6" s="1671" t="s">
        <v>16</v>
      </c>
      <c r="L6" s="1673" t="s">
        <v>299</v>
      </c>
      <c r="M6" s="1674"/>
      <c r="N6" s="1675"/>
    </row>
    <row r="7" spans="1:16" ht="74.25" customHeight="1" thickBot="1" x14ac:dyDescent="0.25">
      <c r="A7" s="1661"/>
      <c r="B7" s="1664"/>
      <c r="C7" s="1664"/>
      <c r="D7" s="1667"/>
      <c r="E7" s="1670"/>
      <c r="F7" s="1684"/>
      <c r="G7" s="1690"/>
      <c r="H7" s="1687"/>
      <c r="I7" s="1678"/>
      <c r="J7" s="1678"/>
      <c r="K7" s="1672"/>
      <c r="L7" s="731" t="s">
        <v>35</v>
      </c>
      <c r="M7" s="731" t="s">
        <v>143</v>
      </c>
      <c r="N7" s="732" t="s">
        <v>228</v>
      </c>
    </row>
    <row r="8" spans="1:16" s="30" customFormat="1" x14ac:dyDescent="0.2">
      <c r="A8" s="1414" t="s">
        <v>135</v>
      </c>
      <c r="B8" s="1415"/>
      <c r="C8" s="1415"/>
      <c r="D8" s="1415"/>
      <c r="E8" s="1415"/>
      <c r="F8" s="1415"/>
      <c r="G8" s="1415"/>
      <c r="H8" s="1415"/>
      <c r="I8" s="1415"/>
      <c r="J8" s="1415"/>
      <c r="K8" s="1415"/>
      <c r="L8" s="1415"/>
      <c r="M8" s="1415"/>
      <c r="N8" s="1416"/>
    </row>
    <row r="9" spans="1:16" s="30" customFormat="1" x14ac:dyDescent="0.2">
      <c r="A9" s="1435" t="s">
        <v>85</v>
      </c>
      <c r="B9" s="1436"/>
      <c r="C9" s="1436"/>
      <c r="D9" s="1436"/>
      <c r="E9" s="1436"/>
      <c r="F9" s="1436"/>
      <c r="G9" s="1436"/>
      <c r="H9" s="1436"/>
      <c r="I9" s="1436"/>
      <c r="J9" s="1436"/>
      <c r="K9" s="1436"/>
      <c r="L9" s="1436"/>
      <c r="M9" s="1436"/>
      <c r="N9" s="1437"/>
    </row>
    <row r="10" spans="1:16" ht="15.75" customHeight="1" x14ac:dyDescent="0.2">
      <c r="A10" s="679" t="s">
        <v>9</v>
      </c>
      <c r="B10" s="1691" t="s">
        <v>136</v>
      </c>
      <c r="C10" s="1692"/>
      <c r="D10" s="1692"/>
      <c r="E10" s="1692"/>
      <c r="F10" s="1692"/>
      <c r="G10" s="1692"/>
      <c r="H10" s="1692"/>
      <c r="I10" s="1692"/>
      <c r="J10" s="1692"/>
      <c r="K10" s="1692"/>
      <c r="L10" s="1692"/>
      <c r="M10" s="1692"/>
      <c r="N10" s="1693"/>
    </row>
    <row r="11" spans="1:16" ht="16.5" customHeight="1" x14ac:dyDescent="0.2">
      <c r="A11" s="909" t="s">
        <v>9</v>
      </c>
      <c r="B11" s="910" t="s">
        <v>9</v>
      </c>
      <c r="C11" s="1441" t="s">
        <v>70</v>
      </c>
      <c r="D11" s="1442"/>
      <c r="E11" s="1442"/>
      <c r="F11" s="1442"/>
      <c r="G11" s="1442"/>
      <c r="H11" s="1442"/>
      <c r="I11" s="1442"/>
      <c r="J11" s="1442"/>
      <c r="K11" s="1442"/>
      <c r="L11" s="1442"/>
      <c r="M11" s="1442"/>
      <c r="N11" s="1443"/>
    </row>
    <row r="12" spans="1:16" ht="26.25" customHeight="1" x14ac:dyDescent="0.2">
      <c r="A12" s="907" t="s">
        <v>9</v>
      </c>
      <c r="B12" s="902" t="s">
        <v>9</v>
      </c>
      <c r="C12" s="903" t="s">
        <v>9</v>
      </c>
      <c r="D12" s="904" t="s">
        <v>112</v>
      </c>
      <c r="E12" s="901"/>
      <c r="F12" s="906"/>
      <c r="G12" s="908"/>
      <c r="H12" s="1008"/>
      <c r="I12" s="911"/>
      <c r="J12" s="911"/>
      <c r="K12" s="905"/>
      <c r="L12" s="899"/>
      <c r="M12" s="899"/>
      <c r="N12" s="900"/>
    </row>
    <row r="13" spans="1:16" ht="15.75" x14ac:dyDescent="0.2">
      <c r="A13" s="839"/>
      <c r="B13" s="834"/>
      <c r="C13" s="835"/>
      <c r="D13" s="1106" t="s">
        <v>46</v>
      </c>
      <c r="E13" s="1108"/>
      <c r="F13" s="1102" t="s">
        <v>40</v>
      </c>
      <c r="G13" s="134" t="s">
        <v>36</v>
      </c>
      <c r="H13" s="1016">
        <f>632.1/3.4528*1000</f>
        <v>183069</v>
      </c>
      <c r="I13" s="926">
        <f>696/3.4528*1000</f>
        <v>201576</v>
      </c>
      <c r="J13" s="926">
        <f>727.4/3.4528*1000</f>
        <v>210670</v>
      </c>
      <c r="K13" s="1113" t="s">
        <v>97</v>
      </c>
      <c r="L13" s="1133">
        <v>3.38</v>
      </c>
      <c r="M13" s="1133">
        <v>3.39</v>
      </c>
      <c r="N13" s="1134">
        <v>3.4</v>
      </c>
    </row>
    <row r="14" spans="1:16" ht="12.75" customHeight="1" x14ac:dyDescent="0.2">
      <c r="A14" s="1704"/>
      <c r="B14" s="1445"/>
      <c r="C14" s="1446"/>
      <c r="D14" s="1705" t="s">
        <v>47</v>
      </c>
      <c r="E14" s="1701" t="s">
        <v>245</v>
      </c>
      <c r="F14" s="1703"/>
      <c r="G14" s="312"/>
      <c r="H14" s="1010"/>
      <c r="I14" s="913"/>
      <c r="J14" s="913"/>
      <c r="K14" s="1135" t="s">
        <v>49</v>
      </c>
      <c r="L14" s="860">
        <v>2</v>
      </c>
      <c r="M14" s="860">
        <v>3</v>
      </c>
      <c r="N14" s="875">
        <v>3</v>
      </c>
    </row>
    <row r="15" spans="1:16" x14ac:dyDescent="0.2">
      <c r="A15" s="1704"/>
      <c r="B15" s="1445"/>
      <c r="C15" s="1446"/>
      <c r="D15" s="1464"/>
      <c r="E15" s="1408"/>
      <c r="F15" s="1413"/>
      <c r="G15" s="16"/>
      <c r="H15" s="1010"/>
      <c r="I15" s="914"/>
      <c r="J15" s="914"/>
      <c r="K15" s="687" t="s">
        <v>268</v>
      </c>
      <c r="L15" s="688">
        <v>3</v>
      </c>
      <c r="M15" s="688">
        <v>3</v>
      </c>
      <c r="N15" s="689">
        <v>3</v>
      </c>
    </row>
    <row r="16" spans="1:16" ht="25.5" x14ac:dyDescent="0.2">
      <c r="A16" s="839"/>
      <c r="B16" s="834"/>
      <c r="C16" s="835"/>
      <c r="D16" s="1132"/>
      <c r="E16" s="1702"/>
      <c r="F16" s="988"/>
      <c r="G16" s="135"/>
      <c r="H16" s="1010"/>
      <c r="I16" s="914"/>
      <c r="J16" s="914"/>
      <c r="K16" s="1136" t="s">
        <v>307</v>
      </c>
      <c r="L16" s="735">
        <v>100</v>
      </c>
      <c r="M16" s="735"/>
      <c r="N16" s="736"/>
    </row>
    <row r="17" spans="1:14" ht="12.75" customHeight="1" x14ac:dyDescent="0.2">
      <c r="A17" s="1704"/>
      <c r="B17" s="1445"/>
      <c r="C17" s="1446"/>
      <c r="D17" s="1464" t="s">
        <v>48</v>
      </c>
      <c r="E17" s="1408"/>
      <c r="F17" s="1413"/>
      <c r="G17" s="135"/>
      <c r="H17" s="1010"/>
      <c r="I17" s="912"/>
      <c r="J17" s="912"/>
      <c r="K17" s="1468" t="s">
        <v>291</v>
      </c>
      <c r="L17" s="1117">
        <v>25</v>
      </c>
      <c r="M17" s="1117">
        <v>30</v>
      </c>
      <c r="N17" s="1118">
        <v>35</v>
      </c>
    </row>
    <row r="18" spans="1:14" x14ac:dyDescent="0.2">
      <c r="A18" s="1704"/>
      <c r="B18" s="1445"/>
      <c r="C18" s="1446"/>
      <c r="D18" s="1464"/>
      <c r="E18" s="1408"/>
      <c r="F18" s="1413"/>
      <c r="G18" s="135"/>
      <c r="H18" s="1010"/>
      <c r="I18" s="915"/>
      <c r="J18" s="915"/>
      <c r="K18" s="1468"/>
      <c r="L18" s="1004"/>
      <c r="M18" s="1004"/>
      <c r="N18" s="1005"/>
    </row>
    <row r="19" spans="1:14" ht="29.25" customHeight="1" x14ac:dyDescent="0.2">
      <c r="A19" s="1704"/>
      <c r="B19" s="1445"/>
      <c r="C19" s="1446"/>
      <c r="D19" s="1464"/>
      <c r="E19" s="1408"/>
      <c r="F19" s="1413"/>
      <c r="G19" s="135"/>
      <c r="H19" s="1010"/>
      <c r="I19" s="915"/>
      <c r="J19" s="915"/>
      <c r="K19" s="713" t="s">
        <v>269</v>
      </c>
      <c r="L19" s="738">
        <v>111</v>
      </c>
      <c r="M19" s="738">
        <v>112</v>
      </c>
      <c r="N19" s="689">
        <v>112</v>
      </c>
    </row>
    <row r="20" spans="1:14" ht="29.25" customHeight="1" x14ac:dyDescent="0.2">
      <c r="A20" s="1704"/>
      <c r="B20" s="1445"/>
      <c r="C20" s="1446"/>
      <c r="D20" s="1464"/>
      <c r="E20" s="1408"/>
      <c r="F20" s="1413"/>
      <c r="G20" s="135"/>
      <c r="H20" s="1010"/>
      <c r="I20" s="915"/>
      <c r="J20" s="915"/>
      <c r="K20" s="692" t="s">
        <v>308</v>
      </c>
      <c r="L20" s="688">
        <v>1</v>
      </c>
      <c r="M20" s="688">
        <v>1</v>
      </c>
      <c r="N20" s="689">
        <v>1</v>
      </c>
    </row>
    <row r="21" spans="1:14" ht="15.75" customHeight="1" x14ac:dyDescent="0.2">
      <c r="A21" s="1704"/>
      <c r="B21" s="1445"/>
      <c r="C21" s="1446"/>
      <c r="D21" s="1464"/>
      <c r="E21" s="1408"/>
      <c r="F21" s="1413"/>
      <c r="G21" s="135"/>
      <c r="H21" s="1010"/>
      <c r="I21" s="915"/>
      <c r="J21" s="915"/>
      <c r="K21" s="692" t="s">
        <v>257</v>
      </c>
      <c r="L21" s="739" t="s">
        <v>258</v>
      </c>
      <c r="M21" s="739" t="s">
        <v>258</v>
      </c>
      <c r="N21" s="740" t="s">
        <v>258</v>
      </c>
    </row>
    <row r="22" spans="1:14" ht="14.25" customHeight="1" x14ac:dyDescent="0.2">
      <c r="A22" s="1704"/>
      <c r="B22" s="1445"/>
      <c r="C22" s="1446"/>
      <c r="D22" s="1464"/>
      <c r="E22" s="1408"/>
      <c r="F22" s="1413"/>
      <c r="G22" s="135"/>
      <c r="H22" s="1010"/>
      <c r="I22" s="914"/>
      <c r="J22" s="914"/>
      <c r="K22" s="692" t="s">
        <v>253</v>
      </c>
      <c r="L22" s="739" t="s">
        <v>249</v>
      </c>
      <c r="M22" s="739" t="s">
        <v>250</v>
      </c>
      <c r="N22" s="740" t="s">
        <v>250</v>
      </c>
    </row>
    <row r="23" spans="1:14" ht="15.75" customHeight="1" x14ac:dyDescent="0.2">
      <c r="A23" s="1704"/>
      <c r="B23" s="1445"/>
      <c r="C23" s="1446"/>
      <c r="D23" s="1464"/>
      <c r="E23" s="1408"/>
      <c r="F23" s="1413"/>
      <c r="G23" s="135"/>
      <c r="H23" s="1010"/>
      <c r="I23" s="914"/>
      <c r="J23" s="914"/>
      <c r="K23" s="692" t="s">
        <v>252</v>
      </c>
      <c r="L23" s="739" t="s">
        <v>251</v>
      </c>
      <c r="M23" s="739" t="s">
        <v>251</v>
      </c>
      <c r="N23" s="740" t="s">
        <v>251</v>
      </c>
    </row>
    <row r="24" spans="1:14" ht="27.75" customHeight="1" x14ac:dyDescent="0.2">
      <c r="A24" s="1704"/>
      <c r="B24" s="1445"/>
      <c r="C24" s="1446"/>
      <c r="D24" s="1470"/>
      <c r="E24" s="1409"/>
      <c r="F24" s="1462"/>
      <c r="G24" s="135"/>
      <c r="H24" s="1010"/>
      <c r="I24" s="914"/>
      <c r="J24" s="914"/>
      <c r="K24" s="838" t="s">
        <v>270</v>
      </c>
      <c r="L24" s="1056">
        <v>100</v>
      </c>
      <c r="M24" s="1056"/>
      <c r="N24" s="1057"/>
    </row>
    <row r="25" spans="1:14" ht="12.75" customHeight="1" x14ac:dyDescent="0.2">
      <c r="A25" s="680"/>
      <c r="B25" s="834"/>
      <c r="C25" s="835"/>
      <c r="D25" s="1694" t="s">
        <v>231</v>
      </c>
      <c r="E25" s="1697" t="s">
        <v>91</v>
      </c>
      <c r="F25" s="677" t="s">
        <v>40</v>
      </c>
      <c r="G25" s="690" t="s">
        <v>36</v>
      </c>
      <c r="H25" s="1011">
        <f>936.2/3.4528*1000</f>
        <v>271142</v>
      </c>
      <c r="I25" s="916">
        <f>943.3/3.4528*1000</f>
        <v>273199</v>
      </c>
      <c r="J25" s="917"/>
      <c r="K25" s="743"/>
      <c r="L25" s="1058"/>
      <c r="M25" s="1058"/>
      <c r="N25" s="1059"/>
    </row>
    <row r="26" spans="1:14" ht="15" customHeight="1" x14ac:dyDescent="0.2">
      <c r="A26" s="680"/>
      <c r="B26" s="834"/>
      <c r="C26" s="835"/>
      <c r="D26" s="1695"/>
      <c r="E26" s="1698"/>
      <c r="F26" s="84"/>
      <c r="G26" s="685"/>
      <c r="H26" s="1009"/>
      <c r="I26" s="918"/>
      <c r="J26" s="919"/>
      <c r="K26" s="741" t="s">
        <v>233</v>
      </c>
      <c r="L26" s="742">
        <v>100</v>
      </c>
      <c r="M26" s="735"/>
      <c r="N26" s="736"/>
    </row>
    <row r="27" spans="1:14" ht="30" customHeight="1" x14ac:dyDescent="0.2">
      <c r="A27" s="680"/>
      <c r="B27" s="834"/>
      <c r="C27" s="835"/>
      <c r="D27" s="1695"/>
      <c r="E27" s="1698"/>
      <c r="F27" s="84"/>
      <c r="G27" s="685"/>
      <c r="H27" s="1009"/>
      <c r="I27" s="918"/>
      <c r="J27" s="919"/>
      <c r="K27" s="711" t="s">
        <v>271</v>
      </c>
      <c r="L27" s="712">
        <v>100</v>
      </c>
      <c r="M27" s="688"/>
      <c r="N27" s="689"/>
    </row>
    <row r="28" spans="1:14" ht="31.5" customHeight="1" x14ac:dyDescent="0.2">
      <c r="A28" s="680"/>
      <c r="B28" s="834"/>
      <c r="C28" s="835"/>
      <c r="D28" s="1695"/>
      <c r="E28" s="1699" t="s">
        <v>246</v>
      </c>
      <c r="F28" s="841"/>
      <c r="G28" s="778"/>
      <c r="H28" s="1009"/>
      <c r="I28" s="918"/>
      <c r="J28" s="919"/>
      <c r="K28" s="713" t="s">
        <v>272</v>
      </c>
      <c r="L28" s="714">
        <v>100</v>
      </c>
      <c r="M28" s="688"/>
      <c r="N28" s="689"/>
    </row>
    <row r="29" spans="1:14" ht="41.25" customHeight="1" x14ac:dyDescent="0.2">
      <c r="A29" s="680"/>
      <c r="B29" s="834"/>
      <c r="C29" s="835"/>
      <c r="D29" s="1695"/>
      <c r="E29" s="1699"/>
      <c r="F29" s="841"/>
      <c r="G29" s="830"/>
      <c r="H29" s="1012"/>
      <c r="I29" s="920"/>
      <c r="J29" s="921"/>
      <c r="K29" s="692" t="s">
        <v>273</v>
      </c>
      <c r="L29" s="828"/>
      <c r="M29" s="688">
        <v>100</v>
      </c>
      <c r="N29" s="689"/>
    </row>
    <row r="30" spans="1:14" ht="27.75" customHeight="1" x14ac:dyDescent="0.2">
      <c r="A30" s="680"/>
      <c r="B30" s="834"/>
      <c r="C30" s="835"/>
      <c r="D30" s="1696"/>
      <c r="E30" s="1700"/>
      <c r="F30" s="777"/>
      <c r="G30" s="779" t="s">
        <v>181</v>
      </c>
      <c r="H30" s="1008">
        <f>205.1/3.4528*1000</f>
        <v>59401</v>
      </c>
      <c r="I30" s="922"/>
      <c r="J30" s="923"/>
      <c r="K30" s="179" t="s">
        <v>259</v>
      </c>
      <c r="L30" s="726">
        <v>100</v>
      </c>
      <c r="M30" s="1006"/>
      <c r="N30" s="1007"/>
    </row>
    <row r="31" spans="1:14" ht="27" customHeight="1" x14ac:dyDescent="0.2">
      <c r="A31" s="680"/>
      <c r="B31" s="834"/>
      <c r="C31" s="835"/>
      <c r="D31" s="120" t="s">
        <v>190</v>
      </c>
      <c r="E31" s="1710" t="s">
        <v>171</v>
      </c>
      <c r="F31" s="1461" t="s">
        <v>40</v>
      </c>
      <c r="G31" s="780" t="s">
        <v>94</v>
      </c>
      <c r="H31" s="1013"/>
      <c r="I31" s="924">
        <f>100/3.4528*1000</f>
        <v>28962</v>
      </c>
      <c r="J31" s="1014"/>
      <c r="K31" s="715" t="s">
        <v>323</v>
      </c>
      <c r="L31" s="856"/>
      <c r="M31" s="67">
        <v>1</v>
      </c>
      <c r="N31" s="68"/>
    </row>
    <row r="32" spans="1:14" ht="17.25" customHeight="1" x14ac:dyDescent="0.2">
      <c r="A32" s="680"/>
      <c r="B32" s="834"/>
      <c r="C32" s="835"/>
      <c r="D32" s="855" t="s">
        <v>282</v>
      </c>
      <c r="E32" s="1711"/>
      <c r="F32" s="1720"/>
      <c r="G32" s="781" t="s">
        <v>36</v>
      </c>
      <c r="H32" s="1010">
        <f>118.2/3.4528*1000</f>
        <v>34233</v>
      </c>
      <c r="I32" s="925"/>
      <c r="J32" s="1014"/>
      <c r="K32" s="864" t="s">
        <v>324</v>
      </c>
      <c r="L32" s="893">
        <v>1280</v>
      </c>
      <c r="M32" s="894"/>
      <c r="N32" s="1060"/>
    </row>
    <row r="33" spans="1:16" ht="38.25" x14ac:dyDescent="0.2">
      <c r="A33" s="680"/>
      <c r="B33" s="834"/>
      <c r="C33" s="835"/>
      <c r="D33" s="855" t="s">
        <v>263</v>
      </c>
      <c r="E33" s="1712" t="s">
        <v>246</v>
      </c>
      <c r="F33" s="1461" t="s">
        <v>40</v>
      </c>
      <c r="G33" s="780" t="s">
        <v>36</v>
      </c>
      <c r="H33" s="1015">
        <f>20/3.4528*1000</f>
        <v>5792</v>
      </c>
      <c r="I33" s="924"/>
      <c r="J33" s="1014"/>
      <c r="K33" s="862" t="s">
        <v>264</v>
      </c>
      <c r="L33" s="863">
        <v>1</v>
      </c>
      <c r="M33" s="804"/>
      <c r="N33" s="1061"/>
    </row>
    <row r="34" spans="1:16" ht="18.75" customHeight="1" x14ac:dyDescent="0.2">
      <c r="A34" s="680"/>
      <c r="B34" s="834"/>
      <c r="C34" s="835"/>
      <c r="D34" s="843" t="s">
        <v>232</v>
      </c>
      <c r="E34" s="1713"/>
      <c r="F34" s="1720"/>
      <c r="G34" s="779" t="s">
        <v>36</v>
      </c>
      <c r="H34" s="1010"/>
      <c r="I34" s="924"/>
      <c r="J34" s="925">
        <f>250/3.4528*1000</f>
        <v>72405</v>
      </c>
      <c r="K34" s="843" t="s">
        <v>248</v>
      </c>
      <c r="L34" s="829"/>
      <c r="M34" s="844"/>
      <c r="N34" s="1062">
        <v>50</v>
      </c>
    </row>
    <row r="35" spans="1:16" ht="16.5" customHeight="1" x14ac:dyDescent="0.2">
      <c r="A35" s="680"/>
      <c r="B35" s="834"/>
      <c r="C35" s="842"/>
      <c r="D35" s="1714" t="s">
        <v>243</v>
      </c>
      <c r="E35" s="1717" t="s">
        <v>244</v>
      </c>
      <c r="F35" s="1461" t="s">
        <v>90</v>
      </c>
      <c r="G35" s="12" t="s">
        <v>93</v>
      </c>
      <c r="H35" s="1016"/>
      <c r="I35" s="926">
        <f>11.3/3.4528*1000</f>
        <v>3273</v>
      </c>
      <c r="J35" s="926">
        <f>15/3.4528*1000</f>
        <v>4344</v>
      </c>
      <c r="K35" s="1655" t="s">
        <v>325</v>
      </c>
      <c r="L35" s="733"/>
      <c r="M35" s="733">
        <v>1</v>
      </c>
      <c r="N35" s="734"/>
      <c r="O35" s="684"/>
    </row>
    <row r="36" spans="1:16" ht="13.5" customHeight="1" x14ac:dyDescent="0.2">
      <c r="A36" s="680"/>
      <c r="B36" s="834"/>
      <c r="C36" s="842"/>
      <c r="D36" s="1715"/>
      <c r="E36" s="1718"/>
      <c r="F36" s="1413"/>
      <c r="G36" s="686" t="s">
        <v>88</v>
      </c>
      <c r="H36" s="1017"/>
      <c r="I36" s="1018">
        <f>11.3/3.4528*1000</f>
        <v>3273</v>
      </c>
      <c r="J36" s="1018">
        <f>15/3.4528*1000</f>
        <v>4344</v>
      </c>
      <c r="K36" s="1656"/>
      <c r="L36" s="735"/>
      <c r="M36" s="735"/>
      <c r="N36" s="736"/>
      <c r="O36" s="684"/>
    </row>
    <row r="37" spans="1:16" ht="14.25" customHeight="1" x14ac:dyDescent="0.2">
      <c r="A37" s="680"/>
      <c r="B37" s="834"/>
      <c r="C37" s="842"/>
      <c r="D37" s="1716"/>
      <c r="E37" s="1719"/>
      <c r="F37" s="1413"/>
      <c r="G37" s="145" t="s">
        <v>92</v>
      </c>
      <c r="H37" s="1019"/>
      <c r="I37" s="927">
        <f>127.4/3.4528*1000</f>
        <v>36898</v>
      </c>
      <c r="J37" s="928">
        <f>170/3.4528*1000</f>
        <v>49235</v>
      </c>
      <c r="K37" s="859" t="s">
        <v>248</v>
      </c>
      <c r="L37" s="860"/>
      <c r="M37" s="860"/>
      <c r="N37" s="861">
        <v>10</v>
      </c>
      <c r="O37" s="684"/>
    </row>
    <row r="38" spans="1:16" ht="13.5" thickBot="1" x14ac:dyDescent="0.25">
      <c r="A38" s="681"/>
      <c r="B38" s="836"/>
      <c r="C38" s="773"/>
      <c r="D38" s="846"/>
      <c r="E38" s="854"/>
      <c r="F38" s="857"/>
      <c r="G38" s="280" t="s">
        <v>10</v>
      </c>
      <c r="H38" s="956">
        <f>SUM(H12:H37)</f>
        <v>553637</v>
      </c>
      <c r="I38" s="969">
        <f>SUM(I12:I37)</f>
        <v>547181</v>
      </c>
      <c r="J38" s="1020">
        <f>SUM(J1:J37)</f>
        <v>340998</v>
      </c>
      <c r="K38" s="858"/>
      <c r="L38" s="1063"/>
      <c r="M38" s="1064"/>
      <c r="N38" s="1065"/>
    </row>
    <row r="39" spans="1:16" ht="12.75" customHeight="1" x14ac:dyDescent="0.2">
      <c r="A39" s="1706" t="s">
        <v>9</v>
      </c>
      <c r="B39" s="1552" t="s">
        <v>9</v>
      </c>
      <c r="C39" s="1491" t="s">
        <v>11</v>
      </c>
      <c r="D39" s="1707" t="s">
        <v>114</v>
      </c>
      <c r="E39" s="1494"/>
      <c r="F39" s="1483" t="s">
        <v>40</v>
      </c>
      <c r="G39" s="15" t="s">
        <v>36</v>
      </c>
      <c r="H39" s="1042">
        <f>7153.9/3.4528*1000</f>
        <v>2071913</v>
      </c>
      <c r="I39" s="1055">
        <f>7190/3.4528*1000</f>
        <v>2082368</v>
      </c>
      <c r="J39" s="1144">
        <f>7190/3.4528*1000</f>
        <v>2082368</v>
      </c>
      <c r="K39" s="675"/>
      <c r="L39" s="126"/>
      <c r="M39" s="126"/>
      <c r="N39" s="37"/>
      <c r="P39" s="88"/>
    </row>
    <row r="40" spans="1:16" x14ac:dyDescent="0.2">
      <c r="A40" s="1704"/>
      <c r="B40" s="1553"/>
      <c r="C40" s="1446"/>
      <c r="D40" s="1708"/>
      <c r="E40" s="1408"/>
      <c r="F40" s="1413"/>
      <c r="G40" s="25" t="s">
        <v>61</v>
      </c>
      <c r="H40" s="1015">
        <f>3/3.4528*1000</f>
        <v>869</v>
      </c>
      <c r="I40" s="957">
        <f>3/3.4528*1000</f>
        <v>869</v>
      </c>
      <c r="J40" s="955">
        <f>3/3.4528*1000</f>
        <v>869</v>
      </c>
      <c r="K40" s="17"/>
      <c r="L40" s="1120"/>
      <c r="M40" s="1120"/>
      <c r="N40" s="1119"/>
    </row>
    <row r="41" spans="1:16" x14ac:dyDescent="0.2">
      <c r="A41" s="789"/>
      <c r="B41" s="787"/>
      <c r="C41" s="788"/>
      <c r="D41" s="1709"/>
      <c r="E41" s="1115"/>
      <c r="F41" s="1102"/>
      <c r="G41" s="145" t="s">
        <v>36</v>
      </c>
      <c r="H41" s="1021">
        <f>15/3.4528*1000</f>
        <v>4344</v>
      </c>
      <c r="I41" s="931">
        <f>15/3.4528*1000</f>
        <v>4344</v>
      </c>
      <c r="J41" s="932">
        <f>15/3.4528*1000</f>
        <v>4344</v>
      </c>
      <c r="K41" s="1141"/>
      <c r="L41" s="1142"/>
      <c r="M41" s="1142"/>
      <c r="N41" s="1143"/>
    </row>
    <row r="42" spans="1:16" ht="14.25" customHeight="1" x14ac:dyDescent="0.2">
      <c r="A42" s="1704"/>
      <c r="B42" s="1445"/>
      <c r="C42" s="1446"/>
      <c r="D42" s="1464" t="s">
        <v>191</v>
      </c>
      <c r="E42" s="1408"/>
      <c r="F42" s="1413"/>
      <c r="G42" s="16"/>
      <c r="H42" s="1010"/>
      <c r="I42" s="912"/>
      <c r="J42" s="933"/>
      <c r="K42" s="1141" t="s">
        <v>274</v>
      </c>
      <c r="L42" s="1142">
        <v>3.8</v>
      </c>
      <c r="M42" s="1142">
        <v>3.8</v>
      </c>
      <c r="N42" s="1143">
        <v>3.8</v>
      </c>
    </row>
    <row r="43" spans="1:16" ht="15.75" customHeight="1" x14ac:dyDescent="0.2">
      <c r="A43" s="1704"/>
      <c r="B43" s="1445"/>
      <c r="C43" s="1446"/>
      <c r="D43" s="1464"/>
      <c r="E43" s="1408"/>
      <c r="F43" s="1413"/>
      <c r="G43" s="16"/>
      <c r="H43" s="1010"/>
      <c r="I43" s="915"/>
      <c r="J43" s="951"/>
      <c r="K43" s="1140" t="s">
        <v>223</v>
      </c>
      <c r="L43" s="723">
        <v>3.4</v>
      </c>
      <c r="M43" s="723">
        <v>3.4</v>
      </c>
      <c r="N43" s="724">
        <v>3.4</v>
      </c>
    </row>
    <row r="44" spans="1:16" ht="15.75" customHeight="1" x14ac:dyDescent="0.2">
      <c r="A44" s="1704"/>
      <c r="B44" s="1445"/>
      <c r="C44" s="1446"/>
      <c r="D44" s="1722"/>
      <c r="E44" s="1723"/>
      <c r="F44" s="1721"/>
      <c r="G44" s="16"/>
      <c r="H44" s="1010"/>
      <c r="I44" s="914"/>
      <c r="J44" s="1138"/>
      <c r="K44" s="687" t="s">
        <v>275</v>
      </c>
      <c r="L44" s="688">
        <v>24</v>
      </c>
      <c r="M44" s="688">
        <v>24</v>
      </c>
      <c r="N44" s="689">
        <v>24</v>
      </c>
    </row>
    <row r="45" spans="1:16" ht="17.25" customHeight="1" x14ac:dyDescent="0.2">
      <c r="A45" s="1704"/>
      <c r="B45" s="1445"/>
      <c r="C45" s="1446"/>
      <c r="D45" s="1725" t="s">
        <v>56</v>
      </c>
      <c r="E45" s="986"/>
      <c r="F45" s="876"/>
      <c r="G45" s="16"/>
      <c r="H45" s="1010"/>
      <c r="I45" s="912"/>
      <c r="J45" s="933"/>
      <c r="K45" s="687" t="s">
        <v>58</v>
      </c>
      <c r="L45" s="688">
        <v>36</v>
      </c>
      <c r="M45" s="688">
        <v>38</v>
      </c>
      <c r="N45" s="689">
        <v>38</v>
      </c>
    </row>
    <row r="46" spans="1:16" ht="29.25" customHeight="1" x14ac:dyDescent="0.2">
      <c r="A46" s="1704"/>
      <c r="B46" s="1445"/>
      <c r="C46" s="1446"/>
      <c r="D46" s="1726"/>
      <c r="E46" s="987"/>
      <c r="F46" s="988"/>
      <c r="G46" s="16"/>
      <c r="H46" s="1010"/>
      <c r="I46" s="915"/>
      <c r="J46" s="951"/>
      <c r="K46" s="687" t="s">
        <v>194</v>
      </c>
      <c r="L46" s="688">
        <v>895</v>
      </c>
      <c r="M46" s="688">
        <v>890</v>
      </c>
      <c r="N46" s="689">
        <v>890</v>
      </c>
    </row>
    <row r="47" spans="1:16" ht="18" customHeight="1" x14ac:dyDescent="0.2">
      <c r="A47" s="765"/>
      <c r="B47" s="759"/>
      <c r="C47" s="760"/>
      <c r="D47" s="1476" t="s">
        <v>327</v>
      </c>
      <c r="E47" s="1115"/>
      <c r="F47" s="1102"/>
      <c r="G47" s="16"/>
      <c r="H47" s="1010"/>
      <c r="I47" s="912"/>
      <c r="J47" s="933"/>
      <c r="K47" s="730" t="s">
        <v>284</v>
      </c>
      <c r="L47" s="718" t="s">
        <v>285</v>
      </c>
      <c r="M47" s="718" t="s">
        <v>285</v>
      </c>
      <c r="N47" s="1139" t="s">
        <v>289</v>
      </c>
    </row>
    <row r="48" spans="1:16" ht="18" customHeight="1" x14ac:dyDescent="0.2">
      <c r="A48" s="889"/>
      <c r="B48" s="887"/>
      <c r="C48" s="888"/>
      <c r="D48" s="1476"/>
      <c r="E48" s="885"/>
      <c r="F48" s="886"/>
      <c r="G48" s="16"/>
      <c r="H48" s="1010"/>
      <c r="I48" s="912"/>
      <c r="J48" s="933"/>
      <c r="K48" s="692" t="s">
        <v>290</v>
      </c>
      <c r="L48" s="891" t="s">
        <v>287</v>
      </c>
      <c r="M48" s="891" t="s">
        <v>287</v>
      </c>
      <c r="N48" s="892" t="s">
        <v>288</v>
      </c>
    </row>
    <row r="49" spans="1:14" ht="27" customHeight="1" x14ac:dyDescent="0.2">
      <c r="A49" s="765"/>
      <c r="B49" s="759"/>
      <c r="C49" s="760"/>
      <c r="D49" s="1724"/>
      <c r="E49" s="761"/>
      <c r="F49" s="745"/>
      <c r="G49" s="145"/>
      <c r="H49" s="1021"/>
      <c r="I49" s="911"/>
      <c r="J49" s="1137"/>
      <c r="K49" s="692" t="s">
        <v>328</v>
      </c>
      <c r="L49" s="890" t="s">
        <v>286</v>
      </c>
      <c r="M49" s="890" t="s">
        <v>286</v>
      </c>
      <c r="N49" s="896" t="s">
        <v>286</v>
      </c>
    </row>
    <row r="50" spans="1:14" ht="26.25" thickBot="1" x14ac:dyDescent="0.25">
      <c r="A50" s="765"/>
      <c r="B50" s="759"/>
      <c r="C50" s="760"/>
      <c r="D50" s="1724"/>
      <c r="E50" s="795"/>
      <c r="F50" s="793"/>
      <c r="G50" s="803" t="s">
        <v>10</v>
      </c>
      <c r="H50" s="1023">
        <f>H39+H40+H41</f>
        <v>2077126</v>
      </c>
      <c r="I50" s="1024">
        <f>I39+I40+I41</f>
        <v>2087581</v>
      </c>
      <c r="J50" s="1023">
        <f>J39+J40+J41</f>
        <v>2087581</v>
      </c>
      <c r="K50" s="895" t="s">
        <v>101</v>
      </c>
      <c r="L50" s="897">
        <v>1</v>
      </c>
      <c r="M50" s="709">
        <v>1</v>
      </c>
      <c r="N50" s="710">
        <v>1</v>
      </c>
    </row>
    <row r="51" spans="1:14" x14ac:dyDescent="0.2">
      <c r="A51" s="1706" t="s">
        <v>9</v>
      </c>
      <c r="B51" s="1490" t="s">
        <v>9</v>
      </c>
      <c r="C51" s="1728" t="s">
        <v>38</v>
      </c>
      <c r="D51" s="1730" t="s">
        <v>115</v>
      </c>
      <c r="E51" s="1733" t="s">
        <v>170</v>
      </c>
      <c r="F51" s="1483" t="s">
        <v>40</v>
      </c>
      <c r="G51" s="339" t="s">
        <v>36</v>
      </c>
      <c r="H51" s="1025">
        <f>2038.5/3.4528*1000</f>
        <v>590390</v>
      </c>
      <c r="I51" s="1026">
        <f>(2153+0.9)/3.4528*1000</f>
        <v>623813</v>
      </c>
      <c r="J51" s="1027">
        <f>1665.8/3.4528*1000</f>
        <v>482449</v>
      </c>
      <c r="K51" s="1104"/>
      <c r="L51" s="126"/>
      <c r="M51" s="126"/>
      <c r="N51" s="37"/>
    </row>
    <row r="52" spans="1:14" ht="12.75" customHeight="1" x14ac:dyDescent="0.2">
      <c r="A52" s="1704"/>
      <c r="B52" s="1445"/>
      <c r="C52" s="1729"/>
      <c r="D52" s="1731"/>
      <c r="E52" s="1699"/>
      <c r="F52" s="1413"/>
      <c r="G52" s="12" t="s">
        <v>61</v>
      </c>
      <c r="H52" s="1028">
        <f>116.2/3.4528*1000</f>
        <v>33654</v>
      </c>
      <c r="I52" s="1029">
        <f>116.3/3.4528*1000</f>
        <v>33683</v>
      </c>
      <c r="J52" s="1030">
        <f>116.3/3.4528*1000</f>
        <v>33683</v>
      </c>
      <c r="K52" s="1107"/>
      <c r="L52" s="1120"/>
      <c r="M52" s="1120"/>
      <c r="N52" s="1119"/>
    </row>
    <row r="53" spans="1:14" ht="11.25" customHeight="1" x14ac:dyDescent="0.2">
      <c r="A53" s="1093"/>
      <c r="B53" s="1090"/>
      <c r="C53" s="1095"/>
      <c r="D53" s="1732"/>
      <c r="E53" s="1734"/>
      <c r="F53" s="988"/>
      <c r="G53" s="867"/>
      <c r="H53" s="1148"/>
      <c r="I53" s="1149"/>
      <c r="J53" s="1150"/>
      <c r="K53" s="1136"/>
      <c r="L53" s="1142"/>
      <c r="M53" s="1142"/>
      <c r="N53" s="1143"/>
    </row>
    <row r="54" spans="1:14" ht="28.5" customHeight="1" thickBot="1" x14ac:dyDescent="0.25">
      <c r="A54" s="1094"/>
      <c r="B54" s="1089"/>
      <c r="C54" s="773"/>
      <c r="D54" s="1145" t="s">
        <v>235</v>
      </c>
      <c r="E54" s="1116"/>
      <c r="F54" s="1103"/>
      <c r="G54" s="1096"/>
      <c r="H54" s="1097"/>
      <c r="I54" s="1098"/>
      <c r="J54" s="1099"/>
      <c r="K54" s="331" t="s">
        <v>309</v>
      </c>
      <c r="L54" s="1146">
        <v>2</v>
      </c>
      <c r="M54" s="1147"/>
      <c r="N54" s="710"/>
    </row>
    <row r="55" spans="1:14" ht="27" customHeight="1" x14ac:dyDescent="0.2">
      <c r="A55" s="839"/>
      <c r="B55" s="837"/>
      <c r="C55" s="842"/>
      <c r="D55" s="1151" t="s">
        <v>255</v>
      </c>
      <c r="E55" s="1115"/>
      <c r="F55" s="1102"/>
      <c r="G55" s="365"/>
      <c r="H55" s="1050"/>
      <c r="I55" s="959"/>
      <c r="J55" s="1152"/>
      <c r="K55" s="1111" t="s">
        <v>256</v>
      </c>
      <c r="L55" s="1153"/>
      <c r="M55" s="1154">
        <v>100</v>
      </c>
      <c r="N55" s="1118">
        <v>100</v>
      </c>
    </row>
    <row r="56" spans="1:14" ht="13.5" customHeight="1" x14ac:dyDescent="0.2">
      <c r="A56" s="839"/>
      <c r="B56" s="834"/>
      <c r="C56" s="842"/>
      <c r="D56" s="1658" t="s">
        <v>265</v>
      </c>
      <c r="E56" s="986"/>
      <c r="F56" s="876"/>
      <c r="G56" s="725"/>
      <c r="H56" s="1155"/>
      <c r="I56" s="1156"/>
      <c r="J56" s="1156"/>
      <c r="K56" s="713" t="s">
        <v>310</v>
      </c>
      <c r="L56" s="738">
        <v>2</v>
      </c>
      <c r="M56" s="738">
        <v>2</v>
      </c>
      <c r="N56" s="1157">
        <v>2</v>
      </c>
    </row>
    <row r="57" spans="1:14" ht="16.5" customHeight="1" x14ac:dyDescent="0.2">
      <c r="A57" s="839"/>
      <c r="B57" s="834"/>
      <c r="C57" s="842"/>
      <c r="D57" s="1727"/>
      <c r="E57" s="987"/>
      <c r="F57" s="988"/>
      <c r="G57" s="867"/>
      <c r="H57" s="1148"/>
      <c r="I57" s="1149"/>
      <c r="J57" s="1149"/>
      <c r="K57" s="1158" t="s">
        <v>311</v>
      </c>
      <c r="L57" s="1159">
        <v>5</v>
      </c>
      <c r="M57" s="1159">
        <v>5</v>
      </c>
      <c r="N57" s="1160">
        <v>5</v>
      </c>
    </row>
    <row r="58" spans="1:14" ht="25.5" customHeight="1" x14ac:dyDescent="0.2">
      <c r="A58" s="839"/>
      <c r="B58" s="834"/>
      <c r="C58" s="842"/>
      <c r="D58" s="1161" t="s">
        <v>144</v>
      </c>
      <c r="E58" s="1129"/>
      <c r="F58" s="1128"/>
      <c r="G58" s="691"/>
      <c r="H58" s="1162"/>
      <c r="I58" s="927"/>
      <c r="J58" s="1163"/>
      <c r="K58" s="1164" t="s">
        <v>195</v>
      </c>
      <c r="L58" s="878">
        <v>2</v>
      </c>
      <c r="M58" s="1165">
        <v>2</v>
      </c>
      <c r="N58" s="879">
        <v>2</v>
      </c>
    </row>
    <row r="59" spans="1:14" ht="12.75" customHeight="1" x14ac:dyDescent="0.2">
      <c r="A59" s="839"/>
      <c r="B59" s="834"/>
      <c r="C59" s="842"/>
      <c r="D59" s="1696" t="s">
        <v>301</v>
      </c>
      <c r="E59" s="978"/>
      <c r="F59" s="975"/>
      <c r="G59" s="16"/>
      <c r="H59" s="1033"/>
      <c r="I59" s="912"/>
      <c r="J59" s="934"/>
      <c r="K59" s="720" t="s">
        <v>63</v>
      </c>
      <c r="L59" s="721">
        <v>19.5</v>
      </c>
      <c r="M59" s="721">
        <v>19.5</v>
      </c>
      <c r="N59" s="719">
        <v>19.5</v>
      </c>
    </row>
    <row r="60" spans="1:14" x14ac:dyDescent="0.2">
      <c r="A60" s="839"/>
      <c r="B60" s="834"/>
      <c r="C60" s="842"/>
      <c r="D60" s="1694"/>
      <c r="E60" s="978"/>
      <c r="F60" s="975"/>
      <c r="G60" s="16"/>
      <c r="H60" s="1033"/>
      <c r="I60" s="914"/>
      <c r="J60" s="935"/>
      <c r="K60" s="866" t="s">
        <v>62</v>
      </c>
      <c r="L60" s="799">
        <v>108.8</v>
      </c>
      <c r="M60" s="799">
        <v>108.8</v>
      </c>
      <c r="N60" s="800">
        <v>108.8</v>
      </c>
    </row>
    <row r="61" spans="1:14" ht="29.25" customHeight="1" x14ac:dyDescent="0.2">
      <c r="A61" s="680"/>
      <c r="B61" s="834"/>
      <c r="C61" s="842"/>
      <c r="D61" s="980" t="s">
        <v>160</v>
      </c>
      <c r="E61" s="984"/>
      <c r="F61" s="985"/>
      <c r="G61" s="686"/>
      <c r="H61" s="1034"/>
      <c r="I61" s="936"/>
      <c r="J61" s="937"/>
      <c r="K61" s="819" t="s">
        <v>312</v>
      </c>
      <c r="L61" s="820">
        <v>1</v>
      </c>
      <c r="M61" s="821">
        <v>1</v>
      </c>
      <c r="N61" s="822">
        <v>1</v>
      </c>
    </row>
    <row r="62" spans="1:14" ht="18" customHeight="1" x14ac:dyDescent="0.2">
      <c r="A62" s="680"/>
      <c r="B62" s="834"/>
      <c r="C62" s="842"/>
      <c r="D62" s="1657" t="s">
        <v>267</v>
      </c>
      <c r="E62" s="986"/>
      <c r="F62" s="876"/>
      <c r="G62" s="725"/>
      <c r="H62" s="1035"/>
      <c r="I62" s="938"/>
      <c r="J62" s="939"/>
      <c r="K62" s="687" t="s">
        <v>313</v>
      </c>
      <c r="L62" s="722">
        <v>1</v>
      </c>
      <c r="M62" s="726"/>
      <c r="N62" s="798"/>
    </row>
    <row r="63" spans="1:14" ht="15" customHeight="1" x14ac:dyDescent="0.2">
      <c r="A63" s="680"/>
      <c r="B63" s="834"/>
      <c r="C63" s="842"/>
      <c r="D63" s="1658"/>
      <c r="E63" s="978"/>
      <c r="F63" s="975"/>
      <c r="G63" s="16"/>
      <c r="H63" s="1036"/>
      <c r="I63" s="914"/>
      <c r="J63" s="935"/>
      <c r="K63" s="713" t="s">
        <v>314</v>
      </c>
      <c r="L63" s="868"/>
      <c r="M63" s="869">
        <v>2</v>
      </c>
      <c r="N63" s="870">
        <v>1</v>
      </c>
    </row>
    <row r="64" spans="1:14" ht="17.25" customHeight="1" x14ac:dyDescent="0.2">
      <c r="A64" s="680"/>
      <c r="B64" s="834"/>
      <c r="C64" s="842"/>
      <c r="D64" s="981"/>
      <c r="E64" s="987"/>
      <c r="F64" s="988"/>
      <c r="G64" s="867"/>
      <c r="H64" s="1037"/>
      <c r="I64" s="940"/>
      <c r="J64" s="941"/>
      <c r="K64" s="741" t="s">
        <v>315</v>
      </c>
      <c r="L64" s="871"/>
      <c r="M64" s="872">
        <v>1</v>
      </c>
      <c r="N64" s="873"/>
    </row>
    <row r="65" spans="1:14" ht="27" customHeight="1" x14ac:dyDescent="0.2">
      <c r="A65" s="680"/>
      <c r="B65" s="834"/>
      <c r="C65" s="842"/>
      <c r="D65" s="982" t="s">
        <v>302</v>
      </c>
      <c r="E65" s="984"/>
      <c r="F65" s="985"/>
      <c r="G65" s="686"/>
      <c r="H65" s="1034"/>
      <c r="I65" s="936"/>
      <c r="J65" s="942"/>
      <c r="K65" s="687" t="s">
        <v>236</v>
      </c>
      <c r="L65" s="722">
        <v>60</v>
      </c>
      <c r="M65" s="722">
        <v>40</v>
      </c>
      <c r="N65" s="689"/>
    </row>
    <row r="66" spans="1:14" ht="15" customHeight="1" x14ac:dyDescent="0.2">
      <c r="A66" s="680"/>
      <c r="B66" s="834"/>
      <c r="C66" s="842"/>
      <c r="D66" s="983" t="s">
        <v>266</v>
      </c>
      <c r="E66" s="986"/>
      <c r="F66" s="876"/>
      <c r="G66" s="691"/>
      <c r="H66" s="1038"/>
      <c r="I66" s="928"/>
      <c r="J66" s="943"/>
      <c r="K66" s="874" t="s">
        <v>316</v>
      </c>
      <c r="L66" s="860">
        <v>8</v>
      </c>
      <c r="M66" s="860">
        <v>24</v>
      </c>
      <c r="N66" s="875">
        <v>24</v>
      </c>
    </row>
    <row r="67" spans="1:14" ht="14.25" customHeight="1" thickBot="1" x14ac:dyDescent="0.25">
      <c r="A67" s="840"/>
      <c r="B67" s="836"/>
      <c r="C67" s="773"/>
      <c r="D67" s="977"/>
      <c r="E67" s="979"/>
      <c r="F67" s="976"/>
      <c r="G67" s="283" t="s">
        <v>10</v>
      </c>
      <c r="H67" s="969">
        <f>H51+H52+H53</f>
        <v>624044</v>
      </c>
      <c r="I67" s="969">
        <f>I51+I52+I53</f>
        <v>657496</v>
      </c>
      <c r="J67" s="1039">
        <f>J51+J52+J53</f>
        <v>516132</v>
      </c>
      <c r="K67" s="18"/>
      <c r="L67" s="709"/>
      <c r="M67" s="709"/>
      <c r="N67" s="710"/>
    </row>
    <row r="68" spans="1:14" ht="16.5" customHeight="1" x14ac:dyDescent="0.2">
      <c r="A68" s="1704" t="s">
        <v>9</v>
      </c>
      <c r="B68" s="1445" t="s">
        <v>9</v>
      </c>
      <c r="C68" s="1446" t="s">
        <v>53</v>
      </c>
      <c r="D68" s="1735" t="s">
        <v>116</v>
      </c>
      <c r="E68" s="1736" t="s">
        <v>293</v>
      </c>
      <c r="F68" s="1413" t="s">
        <v>40</v>
      </c>
      <c r="G68" s="339" t="s">
        <v>36</v>
      </c>
      <c r="H68" s="1025">
        <f>7031.6/3.4528*1000</f>
        <v>2036492</v>
      </c>
      <c r="I68" s="1166">
        <f>7314.2/3.4528*1000</f>
        <v>2118339</v>
      </c>
      <c r="J68" s="1167">
        <f>7487.4/3.4528*1000</f>
        <v>2168501</v>
      </c>
      <c r="K68" s="1468"/>
      <c r="L68" s="1472"/>
      <c r="M68" s="1472"/>
      <c r="N68" s="1474"/>
    </row>
    <row r="69" spans="1:14" ht="15.75" customHeight="1" x14ac:dyDescent="0.2">
      <c r="A69" s="1704"/>
      <c r="B69" s="1445"/>
      <c r="C69" s="1446"/>
      <c r="D69" s="1493"/>
      <c r="E69" s="1736"/>
      <c r="F69" s="1413"/>
      <c r="G69" s="16"/>
      <c r="H69" s="1033"/>
      <c r="I69" s="944"/>
      <c r="J69" s="915"/>
      <c r="K69" s="1468"/>
      <c r="L69" s="1472"/>
      <c r="M69" s="1472"/>
      <c r="N69" s="1474"/>
    </row>
    <row r="70" spans="1:14" ht="12.75" customHeight="1" x14ac:dyDescent="0.2">
      <c r="A70" s="1704"/>
      <c r="B70" s="1445"/>
      <c r="C70" s="1446"/>
      <c r="D70" s="1742" t="s">
        <v>65</v>
      </c>
      <c r="E70" s="1744"/>
      <c r="F70" s="1721"/>
      <c r="G70" s="16"/>
      <c r="H70" s="1033"/>
      <c r="I70" s="912"/>
      <c r="J70" s="933"/>
      <c r="K70" s="1465" t="s">
        <v>100</v>
      </c>
      <c r="L70" s="1508">
        <v>8.1</v>
      </c>
      <c r="M70" s="1508">
        <v>8.1999999999999993</v>
      </c>
      <c r="N70" s="1505">
        <v>8.1999999999999993</v>
      </c>
    </row>
    <row r="71" spans="1:14" ht="25.5" customHeight="1" x14ac:dyDescent="0.2">
      <c r="A71" s="1704"/>
      <c r="B71" s="1445"/>
      <c r="C71" s="1446"/>
      <c r="D71" s="1743"/>
      <c r="E71" s="1745"/>
      <c r="F71" s="1703"/>
      <c r="G71" s="16"/>
      <c r="H71" s="1033"/>
      <c r="I71" s="915"/>
      <c r="J71" s="951"/>
      <c r="K71" s="1471"/>
      <c r="L71" s="1741"/>
      <c r="M71" s="1741"/>
      <c r="N71" s="1738"/>
    </row>
    <row r="72" spans="1:14" ht="12.75" customHeight="1" x14ac:dyDescent="0.2">
      <c r="A72" s="1704"/>
      <c r="B72" s="1445"/>
      <c r="C72" s="1446"/>
      <c r="D72" s="1477" t="s">
        <v>64</v>
      </c>
      <c r="E72" s="1739" t="s">
        <v>184</v>
      </c>
      <c r="F72" s="1520"/>
      <c r="G72" s="16"/>
      <c r="H72" s="1033"/>
      <c r="I72" s="912"/>
      <c r="J72" s="933"/>
      <c r="K72" s="702" t="s">
        <v>196</v>
      </c>
      <c r="L72" s="727">
        <v>14.5</v>
      </c>
      <c r="M72" s="727">
        <v>14.6</v>
      </c>
      <c r="N72" s="728">
        <v>14.7</v>
      </c>
    </row>
    <row r="73" spans="1:14" ht="38.25" customHeight="1" x14ac:dyDescent="0.2">
      <c r="A73" s="1704"/>
      <c r="B73" s="1445"/>
      <c r="C73" s="1446"/>
      <c r="D73" s="1478"/>
      <c r="E73" s="1740"/>
      <c r="F73" s="1520"/>
      <c r="G73" s="16"/>
      <c r="H73" s="1033"/>
      <c r="I73" s="915"/>
      <c r="J73" s="951"/>
      <c r="K73" s="61" t="s">
        <v>197</v>
      </c>
      <c r="L73" s="1006">
        <v>150</v>
      </c>
      <c r="M73" s="1006">
        <v>80</v>
      </c>
      <c r="N73" s="1007">
        <v>80</v>
      </c>
    </row>
    <row r="74" spans="1:14" ht="38.25" x14ac:dyDescent="0.2">
      <c r="A74" s="765"/>
      <c r="B74" s="729"/>
      <c r="C74" s="760"/>
      <c r="D74" s="833" t="s">
        <v>237</v>
      </c>
      <c r="E74" s="693"/>
      <c r="F74" s="1112"/>
      <c r="G74" s="145"/>
      <c r="H74" s="1031"/>
      <c r="I74" s="945"/>
      <c r="J74" s="946"/>
      <c r="K74" s="66" t="s">
        <v>238</v>
      </c>
      <c r="L74" s="67">
        <v>1</v>
      </c>
      <c r="M74" s="844"/>
      <c r="N74" s="68"/>
    </row>
    <row r="75" spans="1:14" ht="27.75" customHeight="1" x14ac:dyDescent="0.2">
      <c r="A75" s="826"/>
      <c r="B75" s="729"/>
      <c r="C75" s="824"/>
      <c r="D75" s="827" t="s">
        <v>146</v>
      </c>
      <c r="E75" s="989" t="s">
        <v>294</v>
      </c>
      <c r="F75" s="823"/>
      <c r="G75" s="145" t="s">
        <v>92</v>
      </c>
      <c r="H75" s="1031"/>
      <c r="I75" s="945">
        <f>50/3.4528*1000</f>
        <v>14481</v>
      </c>
      <c r="J75" s="946">
        <f>50/3.4528*1000</f>
        <v>14481</v>
      </c>
      <c r="K75" s="832" t="s">
        <v>241</v>
      </c>
      <c r="L75" s="1004"/>
      <c r="M75" s="1004"/>
      <c r="N75" s="1005">
        <v>1</v>
      </c>
    </row>
    <row r="76" spans="1:14" ht="16.5" customHeight="1" x14ac:dyDescent="0.2">
      <c r="A76" s="765"/>
      <c r="B76" s="759"/>
      <c r="C76" s="760"/>
      <c r="D76" s="1477" t="s">
        <v>67</v>
      </c>
      <c r="E76" s="796"/>
      <c r="F76" s="797"/>
      <c r="G76" s="25" t="s">
        <v>94</v>
      </c>
      <c r="H76" s="1031">
        <f>2038/3.4528*1000</f>
        <v>590246</v>
      </c>
      <c r="I76" s="947"/>
      <c r="J76" s="948"/>
      <c r="K76" s="60" t="s">
        <v>68</v>
      </c>
      <c r="L76" s="802">
        <v>94</v>
      </c>
      <c r="M76" s="733"/>
      <c r="N76" s="801"/>
    </row>
    <row r="77" spans="1:14" ht="13.5" thickBot="1" x14ac:dyDescent="0.25">
      <c r="A77" s="765"/>
      <c r="B77" s="759"/>
      <c r="C77" s="760"/>
      <c r="D77" s="1487"/>
      <c r="E77" s="763"/>
      <c r="F77" s="758"/>
      <c r="G77" s="774" t="s">
        <v>10</v>
      </c>
      <c r="H77" s="952">
        <f>SUM(H68:H76)</f>
        <v>2626738</v>
      </c>
      <c r="I77" s="952">
        <f>SUM(I68:I76)</f>
        <v>2132820</v>
      </c>
      <c r="J77" s="952">
        <f>SUM(J68:J76)</f>
        <v>2182982</v>
      </c>
      <c r="K77" s="786"/>
      <c r="L77" s="709"/>
      <c r="M77" s="709"/>
      <c r="N77" s="1066"/>
    </row>
    <row r="78" spans="1:14" ht="40.5" customHeight="1" x14ac:dyDescent="0.2">
      <c r="A78" s="1706" t="s">
        <v>9</v>
      </c>
      <c r="B78" s="1490" t="s">
        <v>9</v>
      </c>
      <c r="C78" s="1491" t="s">
        <v>54</v>
      </c>
      <c r="D78" s="853" t="s">
        <v>260</v>
      </c>
      <c r="E78" s="1494"/>
      <c r="F78" s="1519" t="s">
        <v>95</v>
      </c>
      <c r="G78" s="339" t="s">
        <v>36</v>
      </c>
      <c r="H78" s="1040">
        <f>704/3.4528*1000</f>
        <v>203892</v>
      </c>
      <c r="I78" s="949">
        <f>(50+577)/3.4528*1000</f>
        <v>181592</v>
      </c>
      <c r="J78" s="950">
        <f>(50+577)/3.4528*1000</f>
        <v>181592</v>
      </c>
      <c r="K78" s="785" t="s">
        <v>317</v>
      </c>
      <c r="L78" s="1004">
        <v>65</v>
      </c>
      <c r="M78" s="1004">
        <v>65</v>
      </c>
      <c r="N78" s="1005">
        <v>65</v>
      </c>
    </row>
    <row r="79" spans="1:14" ht="14.25" customHeight="1" x14ac:dyDescent="0.2">
      <c r="A79" s="1704"/>
      <c r="B79" s="1445"/>
      <c r="C79" s="1446"/>
      <c r="D79" s="1746" t="s">
        <v>261</v>
      </c>
      <c r="E79" s="1408"/>
      <c r="F79" s="1520"/>
      <c r="G79" s="145"/>
      <c r="H79" s="1041"/>
      <c r="I79" s="915"/>
      <c r="J79" s="951"/>
      <c r="K79" s="825" t="s">
        <v>262</v>
      </c>
      <c r="L79" s="1004">
        <v>5</v>
      </c>
      <c r="M79" s="1004"/>
      <c r="N79" s="1005"/>
    </row>
    <row r="80" spans="1:14" ht="16.5" customHeight="1" thickBot="1" x14ac:dyDescent="0.25">
      <c r="A80" s="1737"/>
      <c r="B80" s="1485"/>
      <c r="C80" s="1486"/>
      <c r="D80" s="1747"/>
      <c r="E80" s="1512"/>
      <c r="F80" s="1521"/>
      <c r="G80" s="280" t="s">
        <v>10</v>
      </c>
      <c r="H80" s="956">
        <f>H78</f>
        <v>203892</v>
      </c>
      <c r="I80" s="952">
        <f>SUM(I78:I79)</f>
        <v>181592</v>
      </c>
      <c r="J80" s="953">
        <f>SUM(J78:J79)</f>
        <v>181592</v>
      </c>
      <c r="K80" s="18"/>
      <c r="L80" s="709"/>
      <c r="M80" s="709"/>
      <c r="N80" s="710"/>
    </row>
    <row r="81" spans="1:16" ht="16.5" customHeight="1" x14ac:dyDescent="0.2">
      <c r="A81" s="1706" t="s">
        <v>9</v>
      </c>
      <c r="B81" s="1490" t="s">
        <v>9</v>
      </c>
      <c r="C81" s="1491" t="s">
        <v>41</v>
      </c>
      <c r="D81" s="1522" t="s">
        <v>254</v>
      </c>
      <c r="E81" s="1535" t="s">
        <v>169</v>
      </c>
      <c r="F81" s="1519" t="s">
        <v>90</v>
      </c>
      <c r="G81" s="339" t="s">
        <v>92</v>
      </c>
      <c r="H81" s="1168">
        <f>366.4/3.4528*1000</f>
        <v>106117</v>
      </c>
      <c r="I81" s="1169"/>
      <c r="J81" s="954"/>
      <c r="K81" s="1528" t="s">
        <v>234</v>
      </c>
      <c r="L81" s="146">
        <v>100</v>
      </c>
      <c r="M81" s="146"/>
      <c r="N81" s="147"/>
    </row>
    <row r="82" spans="1:16" ht="21" customHeight="1" x14ac:dyDescent="0.2">
      <c r="A82" s="1704"/>
      <c r="B82" s="1445"/>
      <c r="C82" s="1446"/>
      <c r="D82" s="1523"/>
      <c r="E82" s="1536"/>
      <c r="F82" s="1520"/>
      <c r="G82" s="686" t="s">
        <v>36</v>
      </c>
      <c r="H82" s="1022">
        <f>0.1/3.4528*1000</f>
        <v>29</v>
      </c>
      <c r="I82" s="1170"/>
      <c r="J82" s="929"/>
      <c r="K82" s="1748"/>
      <c r="L82" s="1172"/>
      <c r="M82" s="1172"/>
      <c r="N82" s="1173"/>
    </row>
    <row r="83" spans="1:16" ht="15" customHeight="1" x14ac:dyDescent="0.2">
      <c r="A83" s="1704"/>
      <c r="B83" s="1445"/>
      <c r="C83" s="1446"/>
      <c r="D83" s="1523"/>
      <c r="E83" s="1536"/>
      <c r="F83" s="1520"/>
      <c r="G83" s="16" t="s">
        <v>93</v>
      </c>
      <c r="H83" s="1010">
        <f>77/3.4528*1000</f>
        <v>22301</v>
      </c>
      <c r="I83" s="918"/>
      <c r="J83" s="944"/>
      <c r="K83" s="1171" t="s">
        <v>276</v>
      </c>
      <c r="L83" s="31">
        <v>100</v>
      </c>
      <c r="M83" s="31"/>
      <c r="N83" s="144"/>
    </row>
    <row r="84" spans="1:16" ht="15" customHeight="1" thickBot="1" x14ac:dyDescent="0.25">
      <c r="A84" s="1737"/>
      <c r="B84" s="1485"/>
      <c r="C84" s="1486"/>
      <c r="D84" s="1524"/>
      <c r="E84" s="1537"/>
      <c r="F84" s="1521"/>
      <c r="G84" s="280" t="s">
        <v>10</v>
      </c>
      <c r="H84" s="1043">
        <f>SUM(H81:H83)</f>
        <v>128447</v>
      </c>
      <c r="I84" s="952">
        <f>SUM(I81:I83)</f>
        <v>0</v>
      </c>
      <c r="J84" s="956">
        <f>SUM(J81:J83)</f>
        <v>0</v>
      </c>
      <c r="K84" s="694"/>
      <c r="L84" s="1067"/>
      <c r="M84" s="1068"/>
      <c r="N84" s="1066"/>
      <c r="O84" s="14"/>
      <c r="P84" s="13"/>
    </row>
    <row r="85" spans="1:16" ht="14.25" customHeight="1" x14ac:dyDescent="0.2">
      <c r="A85" s="1706" t="s">
        <v>9</v>
      </c>
      <c r="B85" s="1490" t="s">
        <v>9</v>
      </c>
      <c r="C85" s="1491" t="s">
        <v>55</v>
      </c>
      <c r="D85" s="1522" t="s">
        <v>179</v>
      </c>
      <c r="E85" s="1114"/>
      <c r="F85" s="737"/>
      <c r="G85" s="676" t="s">
        <v>36</v>
      </c>
      <c r="H85" s="1044">
        <f>22/3.4528*1000</f>
        <v>6372</v>
      </c>
      <c r="I85" s="1045">
        <f>75/3.4528*1000</f>
        <v>21722</v>
      </c>
      <c r="J85" s="1046">
        <f>125/3.4528*1000</f>
        <v>36203</v>
      </c>
      <c r="K85" s="1530" t="s">
        <v>326</v>
      </c>
      <c r="L85" s="184">
        <f>L87+L88+L90+L91</f>
        <v>3</v>
      </c>
      <c r="M85" s="184">
        <f>M87+M88+M90+M91</f>
        <v>0</v>
      </c>
      <c r="N85" s="884">
        <f>N87+N88+N90+N91</f>
        <v>1</v>
      </c>
    </row>
    <row r="86" spans="1:16" ht="27.75" customHeight="1" x14ac:dyDescent="0.2">
      <c r="A86" s="1704"/>
      <c r="B86" s="1445"/>
      <c r="C86" s="1446"/>
      <c r="D86" s="1529"/>
      <c r="E86" s="1121"/>
      <c r="F86" s="775"/>
      <c r="G86" s="782" t="s">
        <v>92</v>
      </c>
      <c r="H86" s="1032">
        <f>53.5/3.4528*1000</f>
        <v>15495</v>
      </c>
      <c r="I86" s="930"/>
      <c r="J86" s="1047"/>
      <c r="K86" s="1531"/>
      <c r="L86" s="183"/>
      <c r="M86" s="1123"/>
      <c r="N86" s="1124"/>
    </row>
    <row r="87" spans="1:16" ht="41.25" customHeight="1" x14ac:dyDescent="0.2">
      <c r="A87" s="1704"/>
      <c r="B87" s="1445"/>
      <c r="C87" s="1446"/>
      <c r="D87" s="696" t="s">
        <v>277</v>
      </c>
      <c r="E87" s="831" t="s">
        <v>292</v>
      </c>
      <c r="F87" s="1122" t="s">
        <v>90</v>
      </c>
      <c r="G87" s="697"/>
      <c r="H87" s="1017"/>
      <c r="I87" s="936"/>
      <c r="J87" s="1048"/>
      <c r="K87" s="880" t="s">
        <v>318</v>
      </c>
      <c r="L87" s="881">
        <v>1</v>
      </c>
      <c r="M87" s="882"/>
      <c r="N87" s="877"/>
    </row>
    <row r="88" spans="1:16" ht="40.5" customHeight="1" x14ac:dyDescent="0.2">
      <c r="A88" s="1704"/>
      <c r="B88" s="1445"/>
      <c r="C88" s="1446"/>
      <c r="D88" s="996" t="s">
        <v>322</v>
      </c>
      <c r="E88" s="997" t="s">
        <v>183</v>
      </c>
      <c r="F88" s="998"/>
      <c r="G88" s="999" t="s">
        <v>94</v>
      </c>
      <c r="H88" s="1049"/>
      <c r="I88" s="928"/>
      <c r="J88" s="1047"/>
      <c r="K88" s="130" t="s">
        <v>318</v>
      </c>
      <c r="L88" s="1123">
        <v>1</v>
      </c>
      <c r="M88" s="131"/>
      <c r="N88" s="127"/>
    </row>
    <row r="89" spans="1:16" ht="40.5" customHeight="1" x14ac:dyDescent="0.2">
      <c r="A89" s="1704"/>
      <c r="B89" s="1445"/>
      <c r="C89" s="1446"/>
      <c r="D89" s="1130" t="s">
        <v>278</v>
      </c>
      <c r="E89" s="990"/>
      <c r="F89" s="776"/>
      <c r="G89" s="991"/>
      <c r="H89" s="1050"/>
      <c r="I89" s="914"/>
      <c r="J89" s="1051"/>
      <c r="K89" s="993" t="s">
        <v>319</v>
      </c>
      <c r="L89" s="994"/>
      <c r="M89" s="995"/>
      <c r="N89" s="127">
        <v>1</v>
      </c>
    </row>
    <row r="90" spans="1:16" ht="39" customHeight="1" x14ac:dyDescent="0.2">
      <c r="A90" s="1704"/>
      <c r="B90" s="1445"/>
      <c r="C90" s="1446"/>
      <c r="D90" s="992" t="s">
        <v>279</v>
      </c>
      <c r="E90" s="883"/>
      <c r="F90" s="1131" t="s">
        <v>90</v>
      </c>
      <c r="G90" s="26"/>
      <c r="H90" s="1052"/>
      <c r="I90" s="957"/>
      <c r="J90" s="955"/>
      <c r="K90" s="715" t="s">
        <v>319</v>
      </c>
      <c r="L90" s="67"/>
      <c r="M90" s="67"/>
      <c r="N90" s="68">
        <v>1</v>
      </c>
      <c r="P90" s="13"/>
    </row>
    <row r="91" spans="1:16" ht="32.25" customHeight="1" x14ac:dyDescent="0.2">
      <c r="A91" s="1704"/>
      <c r="B91" s="1445"/>
      <c r="C91" s="1446"/>
      <c r="D91" s="1452" t="s">
        <v>295</v>
      </c>
      <c r="E91" s="1526"/>
      <c r="F91" s="1520" t="s">
        <v>90</v>
      </c>
      <c r="G91" s="25"/>
      <c r="H91" s="1053"/>
      <c r="I91" s="948"/>
      <c r="J91" s="958"/>
      <c r="K91" s="27" t="s">
        <v>296</v>
      </c>
      <c r="L91" s="1117">
        <v>1</v>
      </c>
      <c r="M91" s="1117"/>
      <c r="N91" s="1118"/>
    </row>
    <row r="92" spans="1:16" ht="20.25" customHeight="1" thickBot="1" x14ac:dyDescent="0.25">
      <c r="A92" s="1737"/>
      <c r="B92" s="1485"/>
      <c r="C92" s="1486"/>
      <c r="D92" s="1756"/>
      <c r="E92" s="1565"/>
      <c r="F92" s="1521"/>
      <c r="G92" s="283" t="s">
        <v>10</v>
      </c>
      <c r="H92" s="969">
        <f>H85+H86</f>
        <v>21867</v>
      </c>
      <c r="I92" s="969">
        <f>I85+I86</f>
        <v>21722</v>
      </c>
      <c r="J92" s="969">
        <f>J85+J86</f>
        <v>36203</v>
      </c>
      <c r="K92" s="1110" t="s">
        <v>297</v>
      </c>
      <c r="L92" s="709">
        <v>2</v>
      </c>
      <c r="M92" s="709"/>
      <c r="N92" s="710"/>
    </row>
    <row r="93" spans="1:16" ht="17.25" customHeight="1" x14ac:dyDescent="0.2">
      <c r="A93" s="765" t="s">
        <v>9</v>
      </c>
      <c r="B93" s="751" t="s">
        <v>9</v>
      </c>
      <c r="C93" s="1446" t="s">
        <v>44</v>
      </c>
      <c r="D93" s="1755" t="s">
        <v>303</v>
      </c>
      <c r="E93" s="794"/>
      <c r="F93" s="793" t="s">
        <v>40</v>
      </c>
      <c r="G93" s="365" t="s">
        <v>36</v>
      </c>
      <c r="H93" s="1050">
        <f>145.2/3.4528*1000</f>
        <v>42053</v>
      </c>
      <c r="I93" s="959"/>
      <c r="J93" s="960"/>
      <c r="K93" s="757" t="s">
        <v>280</v>
      </c>
      <c r="L93" s="898">
        <v>210</v>
      </c>
      <c r="M93" s="1004"/>
      <c r="N93" s="1005"/>
    </row>
    <row r="94" spans="1:16" ht="13.5" thickBot="1" x14ac:dyDescent="0.25">
      <c r="A94" s="680"/>
      <c r="B94" s="759"/>
      <c r="C94" s="1486"/>
      <c r="D94" s="1756"/>
      <c r="E94" s="717"/>
      <c r="F94" s="716"/>
      <c r="G94" s="280" t="s">
        <v>10</v>
      </c>
      <c r="H94" s="952">
        <f>H93</f>
        <v>42053</v>
      </c>
      <c r="I94" s="952">
        <f t="shared" ref="I94:J96" si="0">SUM(I93:I93)</f>
        <v>0</v>
      </c>
      <c r="J94" s="952">
        <f t="shared" si="0"/>
        <v>0</v>
      </c>
      <c r="K94" s="18"/>
      <c r="L94" s="709"/>
      <c r="M94" s="709"/>
      <c r="N94" s="710"/>
    </row>
    <row r="95" spans="1:16" ht="14.25" customHeight="1" x14ac:dyDescent="0.2">
      <c r="A95" s="1706" t="s">
        <v>9</v>
      </c>
      <c r="B95" s="1490" t="s">
        <v>9</v>
      </c>
      <c r="C95" s="1491" t="s">
        <v>161</v>
      </c>
      <c r="D95" s="1455" t="s">
        <v>129</v>
      </c>
      <c r="E95" s="1578"/>
      <c r="F95" s="1086" t="s">
        <v>40</v>
      </c>
      <c r="G95" s="15" t="s">
        <v>36</v>
      </c>
      <c r="H95" s="1054">
        <f>300/3.4528*1000</f>
        <v>86886</v>
      </c>
      <c r="I95" s="1055">
        <f>200/3.4528*1000</f>
        <v>57924</v>
      </c>
      <c r="J95" s="1055">
        <f>200/3.4528*1000</f>
        <v>57924</v>
      </c>
      <c r="K95" s="1088" t="s">
        <v>57</v>
      </c>
      <c r="L95" s="1100">
        <v>7</v>
      </c>
      <c r="M95" s="1091">
        <v>4</v>
      </c>
      <c r="N95" s="1092">
        <v>4</v>
      </c>
    </row>
    <row r="96" spans="1:16" ht="13.5" customHeight="1" thickBot="1" x14ac:dyDescent="0.25">
      <c r="A96" s="1737"/>
      <c r="B96" s="1485"/>
      <c r="C96" s="1486"/>
      <c r="D96" s="1654"/>
      <c r="E96" s="1579"/>
      <c r="F96" s="1087"/>
      <c r="G96" s="280" t="s">
        <v>10</v>
      </c>
      <c r="H96" s="952">
        <f>H95</f>
        <v>86886</v>
      </c>
      <c r="I96" s="952">
        <f t="shared" si="0"/>
        <v>57924</v>
      </c>
      <c r="J96" s="952">
        <f t="shared" si="0"/>
        <v>57924</v>
      </c>
      <c r="K96" s="18"/>
      <c r="L96" s="709"/>
      <c r="M96" s="709"/>
      <c r="N96" s="710"/>
    </row>
    <row r="97" spans="1:16" ht="13.5" thickBot="1" x14ac:dyDescent="0.25">
      <c r="A97" s="682" t="s">
        <v>9</v>
      </c>
      <c r="B97" s="11" t="s">
        <v>9</v>
      </c>
      <c r="C97" s="1548" t="s">
        <v>12</v>
      </c>
      <c r="D97" s="1548"/>
      <c r="E97" s="1548"/>
      <c r="F97" s="1548"/>
      <c r="G97" s="1574"/>
      <c r="H97" s="961">
        <f>H96+H94+H92+H84+H80+H77+H67+H50+H38</f>
        <v>6364690</v>
      </c>
      <c r="I97" s="961">
        <f>I96+I94+I92+I84+I80+I77+I67+I50+I38</f>
        <v>5686316</v>
      </c>
      <c r="J97" s="961">
        <f>J96+J94+J92+J84+J80+J77+J67+J50+J38</f>
        <v>5403412</v>
      </c>
      <c r="K97" s="38"/>
      <c r="L97" s="39"/>
      <c r="M97" s="39"/>
      <c r="N97" s="40"/>
    </row>
    <row r="98" spans="1:16" ht="13.5" thickBot="1" x14ac:dyDescent="0.25">
      <c r="A98" s="682" t="s">
        <v>9</v>
      </c>
      <c r="B98" s="11" t="s">
        <v>11</v>
      </c>
      <c r="C98" s="1549" t="s">
        <v>71</v>
      </c>
      <c r="D98" s="1550"/>
      <c r="E98" s="1550"/>
      <c r="F98" s="1550"/>
      <c r="G98" s="1550"/>
      <c r="H98" s="1550"/>
      <c r="I98" s="1550"/>
      <c r="J98" s="1550"/>
      <c r="K98" s="1550"/>
      <c r="L98" s="1550"/>
      <c r="M98" s="1550"/>
      <c r="N98" s="1551"/>
    </row>
    <row r="99" spans="1:16" x14ac:dyDescent="0.2">
      <c r="A99" s="1706" t="s">
        <v>9</v>
      </c>
      <c r="B99" s="1552" t="s">
        <v>11</v>
      </c>
      <c r="C99" s="1491" t="s">
        <v>9</v>
      </c>
      <c r="D99" s="1751" t="s">
        <v>242</v>
      </c>
      <c r="E99" s="849"/>
      <c r="F99" s="847" t="s">
        <v>40</v>
      </c>
      <c r="G99" s="816" t="s">
        <v>36</v>
      </c>
      <c r="H99" s="1069">
        <f>(966.4+113)/3.4528*1000</f>
        <v>312616</v>
      </c>
      <c r="I99" s="963">
        <f>981/3.4528*1000</f>
        <v>284117</v>
      </c>
      <c r="J99" s="963">
        <f>1131/3.4528*1000</f>
        <v>327560</v>
      </c>
      <c r="K99" s="818"/>
      <c r="L99" s="753"/>
      <c r="M99" s="753"/>
      <c r="N99" s="755"/>
      <c r="P99" s="13"/>
    </row>
    <row r="100" spans="1:16" x14ac:dyDescent="0.2">
      <c r="A100" s="1704"/>
      <c r="B100" s="1553"/>
      <c r="C100" s="1446"/>
      <c r="D100" s="1752"/>
      <c r="E100" s="850"/>
      <c r="F100" s="845"/>
      <c r="G100" s="460"/>
      <c r="H100" s="1070"/>
      <c r="I100" s="964"/>
      <c r="J100" s="964"/>
      <c r="K100" s="805"/>
      <c r="L100" s="31"/>
      <c r="M100" s="31"/>
      <c r="N100" s="144"/>
      <c r="P100" s="13"/>
    </row>
    <row r="101" spans="1:16" ht="12.75" customHeight="1" x14ac:dyDescent="0.2">
      <c r="A101" s="1704"/>
      <c r="B101" s="1553"/>
      <c r="C101" s="1446"/>
      <c r="D101" s="1753" t="s">
        <v>104</v>
      </c>
      <c r="E101" s="850"/>
      <c r="F101" s="845"/>
      <c r="G101" s="461"/>
      <c r="H101" s="1071"/>
      <c r="I101" s="965"/>
      <c r="J101" s="965"/>
      <c r="K101" s="810" t="s">
        <v>76</v>
      </c>
      <c r="L101" s="124">
        <v>350</v>
      </c>
      <c r="M101" s="124">
        <v>350</v>
      </c>
      <c r="N101" s="125">
        <v>350</v>
      </c>
      <c r="P101" s="13"/>
    </row>
    <row r="102" spans="1:16" ht="41.25" customHeight="1" x14ac:dyDescent="0.2">
      <c r="A102" s="1704"/>
      <c r="B102" s="1553"/>
      <c r="C102" s="1446"/>
      <c r="D102" s="1753"/>
      <c r="E102" s="850"/>
      <c r="F102" s="845"/>
      <c r="G102" s="461"/>
      <c r="H102" s="1071"/>
      <c r="I102" s="966"/>
      <c r="J102" s="966"/>
      <c r="K102" s="806" t="s">
        <v>77</v>
      </c>
      <c r="L102" s="698">
        <v>300</v>
      </c>
      <c r="M102" s="698">
        <v>300</v>
      </c>
      <c r="N102" s="699">
        <v>300</v>
      </c>
      <c r="P102" s="13"/>
    </row>
    <row r="103" spans="1:16" ht="39.75" customHeight="1" x14ac:dyDescent="0.2">
      <c r="A103" s="1704"/>
      <c r="B103" s="1553"/>
      <c r="C103" s="1446"/>
      <c r="D103" s="1754"/>
      <c r="E103" s="850"/>
      <c r="F103" s="845"/>
      <c r="G103" s="461"/>
      <c r="H103" s="1071"/>
      <c r="I103" s="966"/>
      <c r="J103" s="966"/>
      <c r="K103" s="811" t="s">
        <v>320</v>
      </c>
      <c r="L103" s="700">
        <v>36</v>
      </c>
      <c r="M103" s="700">
        <v>36</v>
      </c>
      <c r="N103" s="701">
        <v>36</v>
      </c>
      <c r="P103" s="13"/>
    </row>
    <row r="104" spans="1:16" ht="25.5" customHeight="1" x14ac:dyDescent="0.2">
      <c r="A104" s="1704"/>
      <c r="B104" s="1553"/>
      <c r="C104" s="1446"/>
      <c r="D104" s="1753" t="s">
        <v>108</v>
      </c>
      <c r="E104" s="850"/>
      <c r="F104" s="845"/>
      <c r="G104" s="461"/>
      <c r="H104" s="1071"/>
      <c r="I104" s="965"/>
      <c r="J104" s="965"/>
      <c r="K104" s="812" t="s">
        <v>239</v>
      </c>
      <c r="L104" s="703">
        <v>18</v>
      </c>
      <c r="M104" s="703">
        <v>18</v>
      </c>
      <c r="N104" s="704">
        <v>18</v>
      </c>
      <c r="P104" s="13"/>
    </row>
    <row r="105" spans="1:16" ht="40.5" customHeight="1" x14ac:dyDescent="0.2">
      <c r="A105" s="1704"/>
      <c r="B105" s="1553"/>
      <c r="C105" s="1446"/>
      <c r="D105" s="1750"/>
      <c r="E105" s="850"/>
      <c r="F105" s="845"/>
      <c r="G105" s="461"/>
      <c r="H105" s="1071"/>
      <c r="I105" s="966"/>
      <c r="J105" s="966"/>
      <c r="K105" s="813"/>
      <c r="L105" s="59"/>
      <c r="M105" s="59"/>
      <c r="N105" s="143"/>
      <c r="P105" s="13"/>
    </row>
    <row r="106" spans="1:16" ht="12.75" customHeight="1" x14ac:dyDescent="0.2">
      <c r="A106" s="765"/>
      <c r="B106" s="751"/>
      <c r="C106" s="768"/>
      <c r="D106" s="1749" t="s">
        <v>75</v>
      </c>
      <c r="E106" s="850"/>
      <c r="F106" s="845"/>
      <c r="G106" s="461"/>
      <c r="H106" s="1071"/>
      <c r="I106" s="965"/>
      <c r="J106" s="965"/>
      <c r="K106" s="812" t="s">
        <v>105</v>
      </c>
      <c r="L106" s="703">
        <v>2</v>
      </c>
      <c r="M106" s="703">
        <v>2</v>
      </c>
      <c r="N106" s="704">
        <v>2</v>
      </c>
      <c r="P106" s="13"/>
    </row>
    <row r="107" spans="1:16" x14ac:dyDescent="0.2">
      <c r="A107" s="765"/>
      <c r="B107" s="751"/>
      <c r="C107" s="768"/>
      <c r="D107" s="1750"/>
      <c r="E107" s="850"/>
      <c r="F107" s="845"/>
      <c r="G107" s="461"/>
      <c r="H107" s="1071"/>
      <c r="I107" s="965"/>
      <c r="J107" s="965"/>
      <c r="K107" s="814" t="s">
        <v>240</v>
      </c>
      <c r="L107" s="59">
        <v>100</v>
      </c>
      <c r="M107" s="59"/>
      <c r="N107" s="143"/>
      <c r="P107" s="13"/>
    </row>
    <row r="108" spans="1:16" ht="24" customHeight="1" x14ac:dyDescent="0.2">
      <c r="A108" s="765"/>
      <c r="B108" s="751"/>
      <c r="C108" s="768"/>
      <c r="D108" s="807" t="s">
        <v>80</v>
      </c>
      <c r="E108" s="850"/>
      <c r="F108" s="845"/>
      <c r="G108" s="461"/>
      <c r="H108" s="1050"/>
      <c r="I108" s="912"/>
      <c r="J108" s="912"/>
      <c r="K108" s="810" t="s">
        <v>81</v>
      </c>
      <c r="L108" s="124">
        <v>20</v>
      </c>
      <c r="M108" s="124">
        <v>20</v>
      </c>
      <c r="N108" s="125">
        <v>20</v>
      </c>
      <c r="P108" s="13"/>
    </row>
    <row r="109" spans="1:16" ht="21.75" customHeight="1" x14ac:dyDescent="0.2">
      <c r="A109" s="765"/>
      <c r="B109" s="751"/>
      <c r="C109" s="768"/>
      <c r="D109" s="808" t="s">
        <v>304</v>
      </c>
      <c r="E109" s="850"/>
      <c r="F109" s="852"/>
      <c r="G109" s="461"/>
      <c r="H109" s="1050"/>
      <c r="I109" s="912"/>
      <c r="J109" s="912"/>
      <c r="K109" s="815" t="s">
        <v>321</v>
      </c>
      <c r="L109" s="124">
        <v>150</v>
      </c>
      <c r="M109" s="124">
        <v>150</v>
      </c>
      <c r="N109" s="125">
        <v>150</v>
      </c>
      <c r="P109" s="13"/>
    </row>
    <row r="110" spans="1:16" ht="16.5" customHeight="1" x14ac:dyDescent="0.2">
      <c r="A110" s="792"/>
      <c r="B110" s="790"/>
      <c r="C110" s="791"/>
      <c r="D110" s="1776" t="s">
        <v>283</v>
      </c>
      <c r="E110" s="850"/>
      <c r="F110" s="852"/>
      <c r="G110" s="809"/>
      <c r="H110" s="1032"/>
      <c r="I110" s="911"/>
      <c r="J110" s="911"/>
      <c r="K110" s="815" t="s">
        <v>247</v>
      </c>
      <c r="L110" s="124">
        <v>100</v>
      </c>
      <c r="M110" s="124"/>
      <c r="N110" s="125"/>
      <c r="P110" s="13"/>
    </row>
    <row r="111" spans="1:16" ht="23.25" customHeight="1" thickBot="1" x14ac:dyDescent="0.25">
      <c r="A111" s="765"/>
      <c r="B111" s="751"/>
      <c r="C111" s="768"/>
      <c r="D111" s="1777"/>
      <c r="E111" s="851"/>
      <c r="F111" s="848"/>
      <c r="G111" s="817" t="s">
        <v>10</v>
      </c>
      <c r="H111" s="969">
        <f>H99+H100</f>
        <v>312616</v>
      </c>
      <c r="I111" s="969">
        <f>I99</f>
        <v>284117</v>
      </c>
      <c r="J111" s="969">
        <f>J99</f>
        <v>327560</v>
      </c>
      <c r="K111" s="814"/>
      <c r="L111" s="59"/>
      <c r="M111" s="59"/>
      <c r="N111" s="143"/>
      <c r="P111" s="13"/>
    </row>
    <row r="112" spans="1:16" ht="13.5" thickBot="1" x14ac:dyDescent="0.25">
      <c r="A112" s="683" t="s">
        <v>9</v>
      </c>
      <c r="B112" s="11" t="s">
        <v>11</v>
      </c>
      <c r="C112" s="1548" t="s">
        <v>12</v>
      </c>
      <c r="D112" s="1548"/>
      <c r="E112" s="1627"/>
      <c r="F112" s="1627"/>
      <c r="G112" s="1574"/>
      <c r="H112" s="1072">
        <f>H111</f>
        <v>312616</v>
      </c>
      <c r="I112" s="1073">
        <f>I111</f>
        <v>284117</v>
      </c>
      <c r="J112" s="1072">
        <f>J111</f>
        <v>327560</v>
      </c>
      <c r="K112" s="1575"/>
      <c r="L112" s="1576"/>
      <c r="M112" s="1576"/>
      <c r="N112" s="1577"/>
      <c r="O112" s="88"/>
    </row>
    <row r="113" spans="1:16" ht="13.5" thickBot="1" x14ac:dyDescent="0.25">
      <c r="A113" s="682" t="s">
        <v>9</v>
      </c>
      <c r="B113" s="11" t="s">
        <v>38</v>
      </c>
      <c r="C113" s="1549" t="s">
        <v>72</v>
      </c>
      <c r="D113" s="1550"/>
      <c r="E113" s="1550"/>
      <c r="F113" s="1550"/>
      <c r="G113" s="1550"/>
      <c r="H113" s="1550"/>
      <c r="I113" s="1550"/>
      <c r="J113" s="1550"/>
      <c r="K113" s="1550"/>
      <c r="L113" s="1550"/>
      <c r="M113" s="1550"/>
      <c r="N113" s="1551"/>
    </row>
    <row r="114" spans="1:16" ht="18" customHeight="1" x14ac:dyDescent="0.2">
      <c r="A114" s="1706" t="s">
        <v>9</v>
      </c>
      <c r="B114" s="1552" t="s">
        <v>38</v>
      </c>
      <c r="C114" s="1555" t="s">
        <v>9</v>
      </c>
      <c r="D114" s="1558" t="s">
        <v>82</v>
      </c>
      <c r="E114" s="1578"/>
      <c r="F114" s="1483" t="s">
        <v>40</v>
      </c>
      <c r="G114" s="1175" t="s">
        <v>36</v>
      </c>
      <c r="H114" s="1176">
        <f>(2297.3-102.7-48.2)/3.4528*1000</f>
        <v>621640</v>
      </c>
      <c r="I114" s="1177">
        <f>2527.1/3.4528*1000</f>
        <v>731899</v>
      </c>
      <c r="J114" s="1177">
        <f>2527.1/3.4528*1000</f>
        <v>731899</v>
      </c>
      <c r="K114" s="1502" t="s">
        <v>281</v>
      </c>
      <c r="L114" s="1079">
        <v>3.7</v>
      </c>
      <c r="M114" s="1079">
        <v>3.7</v>
      </c>
      <c r="N114" s="1080">
        <v>3.7</v>
      </c>
      <c r="P114" s="13"/>
    </row>
    <row r="115" spans="1:16" ht="15.75" customHeight="1" x14ac:dyDescent="0.2">
      <c r="A115" s="1704"/>
      <c r="B115" s="1553"/>
      <c r="C115" s="1556"/>
      <c r="D115" s="1545"/>
      <c r="E115" s="1448"/>
      <c r="F115" s="1413"/>
      <c r="G115" s="865"/>
      <c r="H115" s="1174"/>
      <c r="I115" s="915"/>
      <c r="J115" s="951"/>
      <c r="K115" s="1468"/>
      <c r="L115" s="1081"/>
      <c r="M115" s="31"/>
      <c r="N115" s="144"/>
      <c r="P115" s="13"/>
    </row>
    <row r="116" spans="1:16" ht="18.75" customHeight="1" thickBot="1" x14ac:dyDescent="0.25">
      <c r="A116" s="1737"/>
      <c r="B116" s="1554"/>
      <c r="C116" s="1557"/>
      <c r="D116" s="1559"/>
      <c r="E116" s="1579"/>
      <c r="F116" s="1497"/>
      <c r="G116" s="962" t="s">
        <v>10</v>
      </c>
      <c r="H116" s="1074">
        <f>H114</f>
        <v>621640</v>
      </c>
      <c r="I116" s="1075">
        <f>SUM(I114:I115)</f>
        <v>731899</v>
      </c>
      <c r="J116" s="1076">
        <f>SUM(J114:J115)</f>
        <v>731899</v>
      </c>
      <c r="K116" s="1498"/>
      <c r="L116" s="754"/>
      <c r="M116" s="754"/>
      <c r="N116" s="756"/>
      <c r="P116" s="13"/>
    </row>
    <row r="117" spans="1:16" ht="13.5" thickBot="1" x14ac:dyDescent="0.25">
      <c r="A117" s="683" t="s">
        <v>9</v>
      </c>
      <c r="B117" s="11" t="s">
        <v>38</v>
      </c>
      <c r="C117" s="1548" t="s">
        <v>12</v>
      </c>
      <c r="D117" s="1548"/>
      <c r="E117" s="1548"/>
      <c r="F117" s="1548"/>
      <c r="G117" s="1574"/>
      <c r="H117" s="1077">
        <f>H116</f>
        <v>621640</v>
      </c>
      <c r="I117" s="1078">
        <f>I116</f>
        <v>731899</v>
      </c>
      <c r="J117" s="1077">
        <f>J116</f>
        <v>731899</v>
      </c>
      <c r="K117" s="1575"/>
      <c r="L117" s="1576"/>
      <c r="M117" s="1576"/>
      <c r="N117" s="1577"/>
    </row>
    <row r="118" spans="1:16" ht="14.25" customHeight="1" thickBot="1" x14ac:dyDescent="0.25">
      <c r="A118" s="682" t="s">
        <v>9</v>
      </c>
      <c r="B118" s="11" t="s">
        <v>53</v>
      </c>
      <c r="C118" s="1589" t="s">
        <v>73</v>
      </c>
      <c r="D118" s="1590"/>
      <c r="E118" s="1590"/>
      <c r="F118" s="1590"/>
      <c r="G118" s="1590"/>
      <c r="H118" s="1590"/>
      <c r="I118" s="1590"/>
      <c r="J118" s="1590"/>
      <c r="K118" s="1590"/>
      <c r="L118" s="1590"/>
      <c r="M118" s="1590"/>
      <c r="N118" s="1591"/>
    </row>
    <row r="119" spans="1:16" ht="17.25" customHeight="1" x14ac:dyDescent="0.2">
      <c r="A119" s="764" t="s">
        <v>9</v>
      </c>
      <c r="B119" s="750" t="s">
        <v>53</v>
      </c>
      <c r="C119" s="737" t="s">
        <v>9</v>
      </c>
      <c r="D119" s="1759" t="s">
        <v>83</v>
      </c>
      <c r="E119" s="678"/>
      <c r="F119" s="744" t="s">
        <v>40</v>
      </c>
      <c r="G119" s="15" t="s">
        <v>36</v>
      </c>
      <c r="H119" s="1042">
        <f>300/3.4528*1000</f>
        <v>86886</v>
      </c>
      <c r="I119" s="1082">
        <f>300/3.4528*1000</f>
        <v>86886</v>
      </c>
      <c r="J119" s="1082">
        <f>300/3.4528*1000</f>
        <v>86886</v>
      </c>
      <c r="K119" s="1502" t="s">
        <v>84</v>
      </c>
      <c r="L119" s="74">
        <v>285</v>
      </c>
      <c r="M119" s="74">
        <v>285</v>
      </c>
      <c r="N119" s="1002">
        <v>285</v>
      </c>
      <c r="O119" s="71"/>
      <c r="P119" s="13"/>
    </row>
    <row r="120" spans="1:16" ht="15.75" customHeight="1" thickBot="1" x14ac:dyDescent="0.25">
      <c r="A120" s="1125"/>
      <c r="B120" s="1105"/>
      <c r="C120" s="1126"/>
      <c r="D120" s="1747"/>
      <c r="E120" s="1109"/>
      <c r="F120" s="1127"/>
      <c r="G120" s="283" t="s">
        <v>10</v>
      </c>
      <c r="H120" s="1039">
        <f>H119</f>
        <v>86886</v>
      </c>
      <c r="I120" s="1039">
        <f>I119</f>
        <v>86886</v>
      </c>
      <c r="J120" s="1039">
        <f>J119</f>
        <v>86886</v>
      </c>
      <c r="K120" s="1772"/>
      <c r="L120" s="59"/>
      <c r="M120" s="59"/>
      <c r="N120" s="143"/>
    </row>
    <row r="121" spans="1:16" ht="12.75" customHeight="1" x14ac:dyDescent="0.2">
      <c r="A121" s="1704" t="s">
        <v>9</v>
      </c>
      <c r="B121" s="1553" t="s">
        <v>53</v>
      </c>
      <c r="C121" s="1618" t="s">
        <v>11</v>
      </c>
      <c r="D121" s="1476" t="s">
        <v>125</v>
      </c>
      <c r="E121" s="1526"/>
      <c r="F121" s="1413" t="s">
        <v>40</v>
      </c>
      <c r="G121" s="339" t="s">
        <v>36</v>
      </c>
      <c r="H121" s="1168">
        <f>20.3/3.4528*1000</f>
        <v>5879</v>
      </c>
      <c r="I121" s="949">
        <f>21/3.4528*1000</f>
        <v>6082</v>
      </c>
      <c r="J121" s="949">
        <f>21/3.4528*1000</f>
        <v>6082</v>
      </c>
      <c r="K121" s="746" t="s">
        <v>127</v>
      </c>
      <c r="L121" s="1000">
        <v>44</v>
      </c>
      <c r="M121" s="1000">
        <v>45</v>
      </c>
      <c r="N121" s="1002">
        <v>45</v>
      </c>
      <c r="P121" s="13"/>
    </row>
    <row r="122" spans="1:16" x14ac:dyDescent="0.2">
      <c r="A122" s="1704"/>
      <c r="B122" s="1553"/>
      <c r="C122" s="1618"/>
      <c r="D122" s="1476"/>
      <c r="E122" s="1526"/>
      <c r="F122" s="1413"/>
      <c r="G122" s="145"/>
      <c r="H122" s="1021"/>
      <c r="I122" s="914"/>
      <c r="J122" s="1138"/>
      <c r="K122" s="27" t="s">
        <v>126</v>
      </c>
      <c r="L122" s="31">
        <v>3</v>
      </c>
      <c r="M122" s="32">
        <v>4</v>
      </c>
      <c r="N122" s="144">
        <v>4</v>
      </c>
      <c r="P122" s="13"/>
    </row>
    <row r="123" spans="1:16" ht="13.5" thickBot="1" x14ac:dyDescent="0.25">
      <c r="A123" s="1737"/>
      <c r="B123" s="1554"/>
      <c r="C123" s="1619"/>
      <c r="D123" s="1487"/>
      <c r="E123" s="1565"/>
      <c r="F123" s="1497"/>
      <c r="G123" s="283" t="s">
        <v>10</v>
      </c>
      <c r="H123" s="1039">
        <f>H121</f>
        <v>5879</v>
      </c>
      <c r="I123" s="952">
        <f>I121</f>
        <v>6082</v>
      </c>
      <c r="J123" s="967">
        <f>J121</f>
        <v>6082</v>
      </c>
      <c r="K123" s="28" t="s">
        <v>225</v>
      </c>
      <c r="L123" s="1001">
        <v>230</v>
      </c>
      <c r="M123" s="33">
        <v>240</v>
      </c>
      <c r="N123" s="1003">
        <v>240</v>
      </c>
      <c r="P123" s="13"/>
    </row>
    <row r="124" spans="1:16" ht="13.5" thickBot="1" x14ac:dyDescent="0.25">
      <c r="A124" s="766" t="s">
        <v>9</v>
      </c>
      <c r="B124" s="752" t="s">
        <v>53</v>
      </c>
      <c r="C124" s="1603" t="s">
        <v>12</v>
      </c>
      <c r="D124" s="1548"/>
      <c r="E124" s="1548"/>
      <c r="F124" s="1548"/>
      <c r="G124" s="1574"/>
      <c r="H124" s="1083">
        <f>H123+H120</f>
        <v>92765</v>
      </c>
      <c r="I124" s="961">
        <f>I123+I120</f>
        <v>92968</v>
      </c>
      <c r="J124" s="968">
        <f>J123+J120</f>
        <v>92968</v>
      </c>
      <c r="K124" s="705"/>
      <c r="L124" s="706"/>
      <c r="M124" s="707"/>
      <c r="N124" s="708"/>
    </row>
    <row r="125" spans="1:16" ht="13.5" thickBot="1" x14ac:dyDescent="0.25">
      <c r="A125" s="682" t="s">
        <v>9</v>
      </c>
      <c r="B125" s="11" t="s">
        <v>109</v>
      </c>
      <c r="C125" s="1589" t="s">
        <v>110</v>
      </c>
      <c r="D125" s="1590"/>
      <c r="E125" s="1590"/>
      <c r="F125" s="1590"/>
      <c r="G125" s="1590"/>
      <c r="H125" s="1590"/>
      <c r="I125" s="1590"/>
      <c r="J125" s="1590"/>
      <c r="K125" s="1590"/>
      <c r="L125" s="1590"/>
      <c r="M125" s="1590"/>
      <c r="N125" s="1591"/>
    </row>
    <row r="126" spans="1:16" ht="14.25" customHeight="1" x14ac:dyDescent="0.2">
      <c r="A126" s="772" t="s">
        <v>9</v>
      </c>
      <c r="B126" s="770" t="s">
        <v>54</v>
      </c>
      <c r="C126" s="771" t="s">
        <v>9</v>
      </c>
      <c r="D126" s="1182" t="s">
        <v>118</v>
      </c>
      <c r="E126" s="1642"/>
      <c r="F126" s="1803">
        <v>6</v>
      </c>
      <c r="G126" s="421" t="s">
        <v>36</v>
      </c>
      <c r="H126" s="1168">
        <f>12076.5/3.4528*1000</f>
        <v>3497596</v>
      </c>
      <c r="I126" s="1027">
        <f>12076.5/3.4528*1000</f>
        <v>3497596</v>
      </c>
      <c r="J126" s="1026">
        <f>12076.5/3.4528*1000</f>
        <v>3497596</v>
      </c>
      <c r="K126" s="769"/>
      <c r="L126" s="31"/>
      <c r="M126" s="31"/>
      <c r="N126" s="144"/>
    </row>
    <row r="127" spans="1:16" ht="12.75" customHeight="1" x14ac:dyDescent="0.2">
      <c r="A127" s="767"/>
      <c r="B127" s="747"/>
      <c r="C127" s="748"/>
      <c r="D127" s="120" t="s">
        <v>120</v>
      </c>
      <c r="E127" s="1642"/>
      <c r="F127" s="1804"/>
      <c r="G127" s="369"/>
      <c r="H127" s="1010"/>
      <c r="I127" s="1180"/>
      <c r="J127" s="1181"/>
      <c r="K127" s="66" t="s">
        <v>305</v>
      </c>
      <c r="L127" s="124">
        <v>7</v>
      </c>
      <c r="M127" s="124">
        <v>7</v>
      </c>
      <c r="N127" s="125">
        <v>7</v>
      </c>
    </row>
    <row r="128" spans="1:16" x14ac:dyDescent="0.2">
      <c r="A128" s="767"/>
      <c r="B128" s="747"/>
      <c r="C128" s="748"/>
      <c r="D128" s="749" t="s">
        <v>121</v>
      </c>
      <c r="E128" s="1642"/>
      <c r="F128" s="1804"/>
      <c r="G128" s="369"/>
      <c r="H128" s="1010"/>
      <c r="I128" s="1180"/>
      <c r="J128" s="1181"/>
      <c r="K128" s="66" t="s">
        <v>306</v>
      </c>
      <c r="L128" s="124">
        <v>6</v>
      </c>
      <c r="M128" s="124">
        <v>6</v>
      </c>
      <c r="N128" s="125">
        <v>6</v>
      </c>
    </row>
    <row r="129" spans="1:24" x14ac:dyDescent="0.2">
      <c r="A129" s="767"/>
      <c r="B129" s="747"/>
      <c r="C129" s="748"/>
      <c r="D129" s="120" t="s">
        <v>122</v>
      </c>
      <c r="E129" s="1642"/>
      <c r="F129" s="1804"/>
      <c r="G129" s="369"/>
      <c r="H129" s="1010"/>
      <c r="I129" s="1180"/>
      <c r="J129" s="1181"/>
      <c r="K129" s="66" t="s">
        <v>306</v>
      </c>
      <c r="L129" s="124">
        <v>5</v>
      </c>
      <c r="M129" s="124">
        <v>5</v>
      </c>
      <c r="N129" s="125">
        <v>5</v>
      </c>
    </row>
    <row r="130" spans="1:24" s="52" customFormat="1" x14ac:dyDescent="0.2">
      <c r="A130" s="765"/>
      <c r="B130" s="751"/>
      <c r="C130" s="70"/>
      <c r="D130" s="120" t="s">
        <v>123</v>
      </c>
      <c r="E130" s="1642"/>
      <c r="F130" s="1804"/>
      <c r="G130" s="16"/>
      <c r="H130" s="1010"/>
      <c r="I130" s="1180"/>
      <c r="J130" s="1181"/>
      <c r="K130" s="66" t="s">
        <v>306</v>
      </c>
      <c r="L130" s="54">
        <v>97</v>
      </c>
      <c r="M130" s="53">
        <v>97</v>
      </c>
      <c r="N130" s="173">
        <v>97</v>
      </c>
    </row>
    <row r="131" spans="1:24" x14ac:dyDescent="0.2">
      <c r="A131" s="1757"/>
      <c r="B131" s="1615"/>
      <c r="C131" s="1618"/>
      <c r="D131" s="1469" t="s">
        <v>119</v>
      </c>
      <c r="E131" s="1642"/>
      <c r="F131" s="1804"/>
      <c r="G131" s="372"/>
      <c r="H131" s="1021"/>
      <c r="I131" s="1178"/>
      <c r="J131" s="1179"/>
      <c r="K131" s="762" t="s">
        <v>306</v>
      </c>
      <c r="L131" s="124">
        <v>1</v>
      </c>
      <c r="M131" s="124">
        <v>1</v>
      </c>
      <c r="N131" s="125">
        <v>1</v>
      </c>
    </row>
    <row r="132" spans="1:24" ht="13.5" thickBot="1" x14ac:dyDescent="0.25">
      <c r="A132" s="1758"/>
      <c r="B132" s="1653"/>
      <c r="C132" s="1619"/>
      <c r="D132" s="1654"/>
      <c r="E132" s="1643"/>
      <c r="F132" s="1805"/>
      <c r="G132" s="283" t="s">
        <v>10</v>
      </c>
      <c r="H132" s="1039">
        <f>H126</f>
        <v>3497596</v>
      </c>
      <c r="I132" s="969">
        <f>SUM(I126:I131)</f>
        <v>3497596</v>
      </c>
      <c r="J132" s="970">
        <f>SUM(J126:J131)</f>
        <v>3497596</v>
      </c>
      <c r="K132" s="28"/>
      <c r="L132" s="1001"/>
      <c r="M132" s="33"/>
      <c r="N132" s="1003"/>
      <c r="P132" s="13"/>
    </row>
    <row r="133" spans="1:24" ht="14.25" customHeight="1" thickBot="1" x14ac:dyDescent="0.25">
      <c r="A133" s="766" t="s">
        <v>9</v>
      </c>
      <c r="B133" s="752" t="s">
        <v>54</v>
      </c>
      <c r="C133" s="1626" t="s">
        <v>12</v>
      </c>
      <c r="D133" s="1627"/>
      <c r="E133" s="1627"/>
      <c r="F133" s="1627"/>
      <c r="G133" s="1574"/>
      <c r="H133" s="961">
        <f>H132</f>
        <v>3497596</v>
      </c>
      <c r="I133" s="961">
        <f>I132</f>
        <v>3497596</v>
      </c>
      <c r="J133" s="961">
        <f>J132</f>
        <v>3497596</v>
      </c>
      <c r="K133" s="1575"/>
      <c r="L133" s="1576"/>
      <c r="M133" s="1576"/>
      <c r="N133" s="1577"/>
    </row>
    <row r="134" spans="1:24" ht="14.25" customHeight="1" thickBot="1" x14ac:dyDescent="0.25">
      <c r="A134" s="683" t="s">
        <v>9</v>
      </c>
      <c r="B134" s="1760" t="s">
        <v>13</v>
      </c>
      <c r="C134" s="1761"/>
      <c r="D134" s="1761"/>
      <c r="E134" s="1761"/>
      <c r="F134" s="1761"/>
      <c r="G134" s="1762"/>
      <c r="H134" s="1084">
        <f>H133+H124+H117+H112+H97</f>
        <v>10889307</v>
      </c>
      <c r="I134" s="1084">
        <f>I133+I124+I117+I112+I97</f>
        <v>10292896</v>
      </c>
      <c r="J134" s="1084">
        <f>J133+J124+J117+J112+J97</f>
        <v>10053435</v>
      </c>
      <c r="K134" s="1763"/>
      <c r="L134" s="1764"/>
      <c r="M134" s="1764"/>
      <c r="N134" s="1765"/>
    </row>
    <row r="135" spans="1:24" ht="14.25" customHeight="1" thickBot="1" x14ac:dyDescent="0.25">
      <c r="A135" s="102" t="s">
        <v>55</v>
      </c>
      <c r="B135" s="1766" t="s">
        <v>128</v>
      </c>
      <c r="C135" s="1767"/>
      <c r="D135" s="1767"/>
      <c r="E135" s="1767"/>
      <c r="F135" s="1767"/>
      <c r="G135" s="1768"/>
      <c r="H135" s="1085">
        <f>H134</f>
        <v>10889307</v>
      </c>
      <c r="I135" s="1085">
        <f>I134</f>
        <v>10292896</v>
      </c>
      <c r="J135" s="1085">
        <f>J134</f>
        <v>10053435</v>
      </c>
      <c r="K135" s="1769"/>
      <c r="L135" s="1770"/>
      <c r="M135" s="1770"/>
      <c r="N135" s="1771"/>
    </row>
    <row r="136" spans="1:24" s="22" customFormat="1" ht="14.25" customHeight="1" x14ac:dyDescent="0.2">
      <c r="A136" s="1798"/>
      <c r="B136" s="1798"/>
      <c r="C136" s="1798"/>
      <c r="D136" s="1798"/>
      <c r="E136" s="1798"/>
      <c r="F136" s="1798"/>
      <c r="G136" s="1798"/>
      <c r="H136" s="1798"/>
      <c r="I136" s="1798"/>
      <c r="J136" s="1798"/>
      <c r="K136" s="1798"/>
      <c r="L136" s="1798"/>
      <c r="M136" s="1798"/>
      <c r="N136" s="1798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s="22" customFormat="1" ht="14.25" customHeight="1" x14ac:dyDescent="0.2">
      <c r="A137" s="1623"/>
      <c r="B137" s="1623"/>
      <c r="C137" s="1623"/>
      <c r="D137" s="1623"/>
      <c r="E137" s="1623"/>
      <c r="F137" s="1623"/>
      <c r="G137" s="1623"/>
      <c r="H137" s="1623"/>
      <c r="I137" s="62"/>
      <c r="J137" s="62"/>
      <c r="K137" s="62"/>
      <c r="L137" s="62"/>
      <c r="M137" s="62"/>
      <c r="N137" s="62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s="22" customFormat="1" ht="14.25" customHeight="1" thickBot="1" x14ac:dyDescent="0.25">
      <c r="A138" s="1799" t="s">
        <v>18</v>
      </c>
      <c r="B138" s="1799"/>
      <c r="C138" s="1799"/>
      <c r="D138" s="1799"/>
      <c r="E138" s="1799"/>
      <c r="F138" s="1799"/>
      <c r="G138" s="1799"/>
      <c r="H138" s="1799"/>
      <c r="I138" s="2"/>
      <c r="J138" s="3"/>
      <c r="K138" s="4"/>
      <c r="L138" s="4"/>
      <c r="M138" s="4"/>
      <c r="N138" s="4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45" customHeight="1" thickBot="1" x14ac:dyDescent="0.25">
      <c r="A139" s="1800" t="s">
        <v>14</v>
      </c>
      <c r="B139" s="1801"/>
      <c r="C139" s="1801"/>
      <c r="D139" s="1801"/>
      <c r="E139" s="1801"/>
      <c r="F139" s="1801"/>
      <c r="G139" s="1802"/>
      <c r="H139" s="784" t="s">
        <v>226</v>
      </c>
      <c r="I139" s="29" t="s">
        <v>229</v>
      </c>
      <c r="J139" s="29" t="s">
        <v>230</v>
      </c>
    </row>
    <row r="140" spans="1:24" ht="14.25" customHeight="1" x14ac:dyDescent="0.2">
      <c r="A140" s="1792" t="s">
        <v>19</v>
      </c>
      <c r="B140" s="1793"/>
      <c r="C140" s="1793"/>
      <c r="D140" s="1793"/>
      <c r="E140" s="1793"/>
      <c r="F140" s="1793"/>
      <c r="G140" s="1794"/>
      <c r="H140" s="971">
        <f ca="1">SUM(H141:H146)</f>
        <v>10155148</v>
      </c>
      <c r="I140" s="971">
        <f>SUM(I141:I146)</f>
        <v>10209282</v>
      </c>
      <c r="J140" s="971">
        <f>SUM(J141:J146)</f>
        <v>9985375</v>
      </c>
      <c r="K140" s="56"/>
    </row>
    <row r="141" spans="1:24" ht="14.25" customHeight="1" x14ac:dyDescent="0.2">
      <c r="A141" s="1795" t="s">
        <v>25</v>
      </c>
      <c r="B141" s="1796"/>
      <c r="C141" s="1796"/>
      <c r="D141" s="1796"/>
      <c r="E141" s="1796"/>
      <c r="F141" s="1796"/>
      <c r="G141" s="1797"/>
      <c r="H141" s="972">
        <f>SUMIF(G12:G135,"SB",H12:H135)</f>
        <v>10061224</v>
      </c>
      <c r="I141" s="972">
        <f>SUMIF(G12:G135,"SB",I12:I135)</f>
        <v>10171457</v>
      </c>
      <c r="J141" s="972">
        <f>SUMIF(G12:G135,"SB",J12:J135)</f>
        <v>9946479</v>
      </c>
      <c r="K141" s="80"/>
    </row>
    <row r="142" spans="1:24" ht="25.5" customHeight="1" x14ac:dyDescent="0.2">
      <c r="A142" s="1773" t="s">
        <v>26</v>
      </c>
      <c r="B142" s="1774"/>
      <c r="C142" s="1774"/>
      <c r="D142" s="1774"/>
      <c r="E142" s="1774"/>
      <c r="F142" s="1774"/>
      <c r="G142" s="1775"/>
      <c r="H142" s="972">
        <f>SUMIF(G13:G135,"SB(SP)",H13:H135)</f>
        <v>34523</v>
      </c>
      <c r="I142" s="972">
        <f>SUMIF(G13:G135,"SB(SP)",I13:I135)</f>
        <v>34552</v>
      </c>
      <c r="J142" s="972">
        <f>SUMIF(G13:G135,"SB(SP)",J13:J135)</f>
        <v>34552</v>
      </c>
    </row>
    <row r="143" spans="1:24" ht="14.25" customHeight="1" x14ac:dyDescent="0.2">
      <c r="A143" s="1773" t="s">
        <v>27</v>
      </c>
      <c r="B143" s="1774"/>
      <c r="C143" s="1774"/>
      <c r="D143" s="1774"/>
      <c r="E143" s="1774"/>
      <c r="F143" s="1774"/>
      <c r="G143" s="1775"/>
      <c r="H143" s="972">
        <f>SUMIF(G13:G135,"SB(F)",H13:H135)</f>
        <v>0</v>
      </c>
      <c r="I143" s="972">
        <f>SUMIF(G13:G135,"SB(F)",I13:I135)</f>
        <v>0</v>
      </c>
      <c r="J143" s="972">
        <f>SUMIF(G13:G135,"SB(F)",J13:J135)</f>
        <v>0</v>
      </c>
      <c r="K143" s="58"/>
      <c r="L143" s="1"/>
      <c r="M143" s="1"/>
      <c r="N143" s="1"/>
      <c r="O143" s="1"/>
      <c r="P143" s="1"/>
    </row>
    <row r="144" spans="1:24" ht="14.25" customHeight="1" x14ac:dyDescent="0.2">
      <c r="A144" s="1773" t="s">
        <v>131</v>
      </c>
      <c r="B144" s="1774"/>
      <c r="C144" s="1774"/>
      <c r="D144" s="1774"/>
      <c r="E144" s="1774"/>
      <c r="F144" s="1774"/>
      <c r="G144" s="1775"/>
      <c r="H144" s="972">
        <f ca="1">SUMIF(G13:G135,"SB(L)",H13:H134)</f>
        <v>0</v>
      </c>
      <c r="I144" s="972">
        <f>SUMIF(G12:G135,"SB(L)",I12:I135)</f>
        <v>0</v>
      </c>
      <c r="J144" s="972">
        <f>SUMIF(G12:G135,"SB(L)",J12:J135)</f>
        <v>0</v>
      </c>
      <c r="K144" s="58"/>
      <c r="L144" s="1"/>
      <c r="M144" s="1"/>
      <c r="N144" s="1"/>
      <c r="O144" s="1"/>
      <c r="P144" s="1"/>
    </row>
    <row r="145" spans="1:16" x14ac:dyDescent="0.2">
      <c r="A145" s="1773" t="s">
        <v>180</v>
      </c>
      <c r="B145" s="1790"/>
      <c r="C145" s="1790"/>
      <c r="D145" s="1790"/>
      <c r="E145" s="1790"/>
      <c r="F145" s="1790"/>
      <c r="G145" s="1791"/>
      <c r="H145" s="972">
        <f>SUMIF(G13:G135,"SB(VR)",H13:H135)</f>
        <v>59401</v>
      </c>
      <c r="I145" s="972">
        <f>SUMIF(G13:G135,"SB(VR)",I13:I135)</f>
        <v>0</v>
      </c>
      <c r="J145" s="972">
        <f>SUMIF(G13:G135,"SB(VR)",J13:J135)</f>
        <v>0</v>
      </c>
      <c r="K145" s="58"/>
      <c r="L145" s="1"/>
      <c r="M145" s="1"/>
      <c r="N145" s="1"/>
      <c r="O145" s="1"/>
      <c r="P145" s="1"/>
    </row>
    <row r="146" spans="1:16" x14ac:dyDescent="0.2">
      <c r="A146" s="1773" t="s">
        <v>28</v>
      </c>
      <c r="B146" s="1774"/>
      <c r="C146" s="1774"/>
      <c r="D146" s="1774"/>
      <c r="E146" s="1774"/>
      <c r="F146" s="1774"/>
      <c r="G146" s="1775"/>
      <c r="H146" s="972">
        <f>SUMIF(G13:G135,"SB(P)",H13:H135)</f>
        <v>0</v>
      </c>
      <c r="I146" s="972">
        <f>SUMIF(G13:G135,"SB(P)",I13:I135)</f>
        <v>3273</v>
      </c>
      <c r="J146" s="972">
        <f>SUMIF(G13:G135,"SB(P)",J13:J135)</f>
        <v>4344</v>
      </c>
    </row>
    <row r="147" spans="1:16" x14ac:dyDescent="0.2">
      <c r="A147" s="1787" t="s">
        <v>20</v>
      </c>
      <c r="B147" s="1788"/>
      <c r="C147" s="1788"/>
      <c r="D147" s="1788"/>
      <c r="E147" s="1788"/>
      <c r="F147" s="1788"/>
      <c r="G147" s="1789"/>
      <c r="H147" s="973">
        <f>SUM(H148:H151)</f>
        <v>734159</v>
      </c>
      <c r="I147" s="973">
        <f>SUM(I148:I151)</f>
        <v>83614</v>
      </c>
      <c r="J147" s="973">
        <f>SUM(J148:J151)</f>
        <v>68060</v>
      </c>
    </row>
    <row r="148" spans="1:16" x14ac:dyDescent="0.2">
      <c r="A148" s="1781" t="s">
        <v>29</v>
      </c>
      <c r="B148" s="1782"/>
      <c r="C148" s="1782"/>
      <c r="D148" s="1782"/>
      <c r="E148" s="1782"/>
      <c r="F148" s="1782"/>
      <c r="G148" s="1783"/>
      <c r="H148" s="972">
        <f>SUMIF(G13:G135,"ES",H13:H135)</f>
        <v>121612</v>
      </c>
      <c r="I148" s="972">
        <f>SUMIF(G13:G135,"ES",I13:I135)</f>
        <v>51379</v>
      </c>
      <c r="J148" s="972">
        <f>SUMIF(G13:G135,"ES",J13:J135)</f>
        <v>63716</v>
      </c>
    </row>
    <row r="149" spans="1:16" x14ac:dyDescent="0.2">
      <c r="A149" s="1784" t="s">
        <v>30</v>
      </c>
      <c r="B149" s="1785"/>
      <c r="C149" s="1785"/>
      <c r="D149" s="1785"/>
      <c r="E149" s="1785"/>
      <c r="F149" s="1785"/>
      <c r="G149" s="1786"/>
      <c r="H149" s="972">
        <f>SUMIF(G13:G135,"KPP",H13:H135)</f>
        <v>0</v>
      </c>
      <c r="I149" s="972">
        <f>SUMIF(G13:G135,"KPP",I13:I135)</f>
        <v>0</v>
      </c>
      <c r="J149" s="972">
        <f>SUMIF(G13:G135,"KPP",J13:J135)</f>
        <v>0</v>
      </c>
    </row>
    <row r="150" spans="1:16" x14ac:dyDescent="0.2">
      <c r="A150" s="1773" t="s">
        <v>31</v>
      </c>
      <c r="B150" s="1774"/>
      <c r="C150" s="1774"/>
      <c r="D150" s="1774"/>
      <c r="E150" s="1774"/>
      <c r="F150" s="1774"/>
      <c r="G150" s="1775"/>
      <c r="H150" s="972">
        <f>SUMIF(G13:G135,"LRVB",H13:H135)</f>
        <v>22301</v>
      </c>
      <c r="I150" s="972">
        <f>SUMIF(G13:G135,"LRVB",I13:I135)</f>
        <v>3273</v>
      </c>
      <c r="J150" s="972">
        <f>SUMIF(G13:G135,"LRVB",J13:J135)</f>
        <v>4344</v>
      </c>
    </row>
    <row r="151" spans="1:16" x14ac:dyDescent="0.2">
      <c r="A151" s="1773" t="s">
        <v>32</v>
      </c>
      <c r="B151" s="1774"/>
      <c r="C151" s="1774"/>
      <c r="D151" s="1774"/>
      <c r="E151" s="1774"/>
      <c r="F151" s="1774"/>
      <c r="G151" s="1775"/>
      <c r="H151" s="972">
        <f>SUMIF(G13:G135,"Kt",H13:H135)</f>
        <v>590246</v>
      </c>
      <c r="I151" s="972">
        <f>SUMIF(G13:G135,"Kt",I13:I135)</f>
        <v>28962</v>
      </c>
      <c r="J151" s="972">
        <f>SUMIF(G13:G135,"Kt",J13:J135)</f>
        <v>0</v>
      </c>
      <c r="L151" s="5"/>
      <c r="M151" s="5"/>
      <c r="N151" s="5"/>
    </row>
    <row r="152" spans="1:16" ht="13.5" thickBot="1" x14ac:dyDescent="0.25">
      <c r="A152" s="1778" t="s">
        <v>21</v>
      </c>
      <c r="B152" s="1779"/>
      <c r="C152" s="1779"/>
      <c r="D152" s="1779"/>
      <c r="E152" s="1779"/>
      <c r="F152" s="1779"/>
      <c r="G152" s="1780"/>
      <c r="H152" s="974">
        <f ca="1">SUM(H140,H147)</f>
        <v>10889307</v>
      </c>
      <c r="I152" s="974">
        <f>SUM(I140,I147)</f>
        <v>10292896</v>
      </c>
      <c r="J152" s="974">
        <f>SUM(J140,J147)</f>
        <v>10053435</v>
      </c>
      <c r="L152" s="5"/>
      <c r="M152" s="5"/>
      <c r="N152" s="5"/>
    </row>
    <row r="153" spans="1:16" x14ac:dyDescent="0.2">
      <c r="I153" s="80"/>
      <c r="K153" s="57"/>
      <c r="L153" s="5"/>
      <c r="M153" s="5"/>
      <c r="N153" s="5"/>
    </row>
    <row r="154" spans="1:16" x14ac:dyDescent="0.2">
      <c r="H154" s="783"/>
      <c r="I154" s="291"/>
      <c r="J154" s="291"/>
      <c r="K154" s="80"/>
      <c r="L154" s="5"/>
      <c r="M154" s="5"/>
      <c r="N154" s="5"/>
    </row>
    <row r="155" spans="1:16" x14ac:dyDescent="0.2">
      <c r="H155" s="1101"/>
      <c r="L155" s="5"/>
      <c r="M155" s="5"/>
      <c r="N155" s="5"/>
    </row>
    <row r="156" spans="1:16" x14ac:dyDescent="0.2">
      <c r="L156" s="5"/>
      <c r="M156" s="5"/>
      <c r="N156" s="5"/>
    </row>
  </sheetData>
  <mergeCells count="188">
    <mergeCell ref="A142:G142"/>
    <mergeCell ref="C133:G133"/>
    <mergeCell ref="D110:D111"/>
    <mergeCell ref="A152:G152"/>
    <mergeCell ref="A150:G150"/>
    <mergeCell ref="A151:G151"/>
    <mergeCell ref="A148:G148"/>
    <mergeCell ref="A149:G149"/>
    <mergeCell ref="A146:G146"/>
    <mergeCell ref="A147:G147"/>
    <mergeCell ref="A144:G144"/>
    <mergeCell ref="A145:G145"/>
    <mergeCell ref="A143:G143"/>
    <mergeCell ref="A140:G140"/>
    <mergeCell ref="A141:G141"/>
    <mergeCell ref="A136:N136"/>
    <mergeCell ref="A137:H137"/>
    <mergeCell ref="A138:H138"/>
    <mergeCell ref="A139:G139"/>
    <mergeCell ref="F121:F123"/>
    <mergeCell ref="C124:G124"/>
    <mergeCell ref="C125:N125"/>
    <mergeCell ref="E126:E132"/>
    <mergeCell ref="F126:F132"/>
    <mergeCell ref="K133:N133"/>
    <mergeCell ref="B134:G134"/>
    <mergeCell ref="K134:N134"/>
    <mergeCell ref="B135:G135"/>
    <mergeCell ref="K135:N135"/>
    <mergeCell ref="K119:K120"/>
    <mergeCell ref="C121:C123"/>
    <mergeCell ref="D121:D123"/>
    <mergeCell ref="E121:E123"/>
    <mergeCell ref="A131:A132"/>
    <mergeCell ref="B131:B132"/>
    <mergeCell ref="C131:C132"/>
    <mergeCell ref="D131:D132"/>
    <mergeCell ref="A121:A123"/>
    <mergeCell ref="B121:B123"/>
    <mergeCell ref="D119:D120"/>
    <mergeCell ref="C117:G117"/>
    <mergeCell ref="K117:N117"/>
    <mergeCell ref="C118:N118"/>
    <mergeCell ref="F114:F116"/>
    <mergeCell ref="K114:K116"/>
    <mergeCell ref="C112:G112"/>
    <mergeCell ref="K112:N112"/>
    <mergeCell ref="C113:N113"/>
    <mergeCell ref="A114:A116"/>
    <mergeCell ref="B114:B116"/>
    <mergeCell ref="C114:C116"/>
    <mergeCell ref="D114:D116"/>
    <mergeCell ref="E114:E116"/>
    <mergeCell ref="F91:F92"/>
    <mergeCell ref="D106:D107"/>
    <mergeCell ref="C97:G97"/>
    <mergeCell ref="C98:N98"/>
    <mergeCell ref="A99:A105"/>
    <mergeCell ref="B99:B105"/>
    <mergeCell ref="C99:C105"/>
    <mergeCell ref="D99:D100"/>
    <mergeCell ref="D101:D103"/>
    <mergeCell ref="D104:D105"/>
    <mergeCell ref="A95:A96"/>
    <mergeCell ref="B95:B96"/>
    <mergeCell ref="C95:C96"/>
    <mergeCell ref="D95:D96"/>
    <mergeCell ref="E95:E96"/>
    <mergeCell ref="C93:C94"/>
    <mergeCell ref="D93:D94"/>
    <mergeCell ref="A85:A92"/>
    <mergeCell ref="B85:B92"/>
    <mergeCell ref="C85:C92"/>
    <mergeCell ref="D91:D92"/>
    <mergeCell ref="E91:E92"/>
    <mergeCell ref="K81:K82"/>
    <mergeCell ref="D85:D86"/>
    <mergeCell ref="K85:K86"/>
    <mergeCell ref="A81:A84"/>
    <mergeCell ref="B81:B84"/>
    <mergeCell ref="C81:C84"/>
    <mergeCell ref="D81:D84"/>
    <mergeCell ref="E81:E84"/>
    <mergeCell ref="F81:F84"/>
    <mergeCell ref="A78:A80"/>
    <mergeCell ref="B78:B80"/>
    <mergeCell ref="C78:C80"/>
    <mergeCell ref="E78:E80"/>
    <mergeCell ref="F78:F80"/>
    <mergeCell ref="N70:N71"/>
    <mergeCell ref="A72:A73"/>
    <mergeCell ref="B72:B73"/>
    <mergeCell ref="C72:C73"/>
    <mergeCell ref="D72:D73"/>
    <mergeCell ref="E72:E73"/>
    <mergeCell ref="F72:F73"/>
    <mergeCell ref="F70:F71"/>
    <mergeCell ref="K70:K71"/>
    <mergeCell ref="L70:L71"/>
    <mergeCell ref="M70:M71"/>
    <mergeCell ref="A70:A71"/>
    <mergeCell ref="B70:B71"/>
    <mergeCell ref="C70:C71"/>
    <mergeCell ref="D70:D71"/>
    <mergeCell ref="E70:E71"/>
    <mergeCell ref="D79:D80"/>
    <mergeCell ref="D76:D77"/>
    <mergeCell ref="F68:F69"/>
    <mergeCell ref="K68:K69"/>
    <mergeCell ref="L68:L69"/>
    <mergeCell ref="M68:M69"/>
    <mergeCell ref="N68:N69"/>
    <mergeCell ref="A68:A69"/>
    <mergeCell ref="B68:B69"/>
    <mergeCell ref="C68:C69"/>
    <mergeCell ref="D68:D69"/>
    <mergeCell ref="E68:E69"/>
    <mergeCell ref="D59:D60"/>
    <mergeCell ref="F42:F44"/>
    <mergeCell ref="A45:A46"/>
    <mergeCell ref="B45:B46"/>
    <mergeCell ref="C45:C46"/>
    <mergeCell ref="A42:A44"/>
    <mergeCell ref="B42:B44"/>
    <mergeCell ref="C42:C44"/>
    <mergeCell ref="D42:D44"/>
    <mergeCell ref="E42:E44"/>
    <mergeCell ref="D47:D50"/>
    <mergeCell ref="D45:D46"/>
    <mergeCell ref="F51:F52"/>
    <mergeCell ref="D56:D57"/>
    <mergeCell ref="A51:A52"/>
    <mergeCell ref="B51:B52"/>
    <mergeCell ref="C51:C52"/>
    <mergeCell ref="D51:D53"/>
    <mergeCell ref="E51:E53"/>
    <mergeCell ref="A39:A40"/>
    <mergeCell ref="B39:B40"/>
    <mergeCell ref="C39:C40"/>
    <mergeCell ref="E39:E40"/>
    <mergeCell ref="F39:F40"/>
    <mergeCell ref="D39:D41"/>
    <mergeCell ref="E31:E32"/>
    <mergeCell ref="E33:E34"/>
    <mergeCell ref="D35:D37"/>
    <mergeCell ref="E35:E37"/>
    <mergeCell ref="F35:F37"/>
    <mergeCell ref="F31:F32"/>
    <mergeCell ref="F33:F34"/>
    <mergeCell ref="K17:K18"/>
    <mergeCell ref="D25:D30"/>
    <mergeCell ref="E25:E27"/>
    <mergeCell ref="E28:E30"/>
    <mergeCell ref="E14:E16"/>
    <mergeCell ref="F14:F15"/>
    <mergeCell ref="A17:A24"/>
    <mergeCell ref="B17:B24"/>
    <mergeCell ref="C17:C24"/>
    <mergeCell ref="D17:D24"/>
    <mergeCell ref="E17:E24"/>
    <mergeCell ref="B14:B15"/>
    <mergeCell ref="C14:C15"/>
    <mergeCell ref="D14:D15"/>
    <mergeCell ref="A14:A15"/>
    <mergeCell ref="K35:K36"/>
    <mergeCell ref="D62:D63"/>
    <mergeCell ref="C11:N11"/>
    <mergeCell ref="A1:N1"/>
    <mergeCell ref="A2:N2"/>
    <mergeCell ref="A3:N3"/>
    <mergeCell ref="L4:N4"/>
    <mergeCell ref="A5:A7"/>
    <mergeCell ref="B5:B7"/>
    <mergeCell ref="C5:C7"/>
    <mergeCell ref="D5:D7"/>
    <mergeCell ref="E5:E7"/>
    <mergeCell ref="K6:K7"/>
    <mergeCell ref="L6:N6"/>
    <mergeCell ref="A8:N8"/>
    <mergeCell ref="I5:I7"/>
    <mergeCell ref="J5:J7"/>
    <mergeCell ref="K5:N5"/>
    <mergeCell ref="F5:F7"/>
    <mergeCell ref="H5:H7"/>
    <mergeCell ref="G5:G7"/>
    <mergeCell ref="A9:N9"/>
    <mergeCell ref="B10:N10"/>
    <mergeCell ref="F17:F24"/>
  </mergeCells>
  <pageMargins left="0.78740157480314965" right="0.19685039370078741" top="0.78740157480314965" bottom="0.39370078740157483" header="0" footer="0"/>
  <pageSetup paperSize="9" scale="70" orientation="portrait" r:id="rId1"/>
  <rowBreaks count="2" manualBreakCount="2">
    <brk id="54" max="13" man="1"/>
    <brk id="98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opLeftCell="F4" workbookViewId="0">
      <selection activeCell="AC38" sqref="AC37:AC38"/>
    </sheetView>
  </sheetViews>
  <sheetFormatPr defaultRowHeight="12.75" x14ac:dyDescent="0.2"/>
  <cols>
    <col min="1" max="4" width="2.7109375" style="10" customWidth="1"/>
    <col min="5" max="5" width="29.85546875" style="10" customWidth="1"/>
    <col min="6" max="6" width="2.7109375" style="47" customWidth="1"/>
    <col min="7" max="7" width="2.7109375" style="10" customWidth="1"/>
    <col min="8" max="8" width="2.7109375" style="64" customWidth="1"/>
    <col min="9" max="9" width="17" style="64" customWidth="1"/>
    <col min="10" max="10" width="7.7109375" style="90" customWidth="1"/>
    <col min="11" max="11" width="9" style="10" customWidth="1"/>
    <col min="12" max="12" width="7.42578125" style="10" customWidth="1"/>
    <col min="13" max="13" width="6.140625" style="10" customWidth="1"/>
    <col min="14" max="18" width="8" style="10" customWidth="1"/>
    <col min="19" max="22" width="6.85546875" style="10" customWidth="1"/>
    <col min="23" max="23" width="7.42578125" style="10" customWidth="1"/>
    <col min="24" max="24" width="8.140625" style="10" customWidth="1"/>
    <col min="25" max="25" width="22" style="10" customWidth="1"/>
    <col min="26" max="26" width="5.42578125" style="10" customWidth="1"/>
    <col min="27" max="28" width="5.42578125" style="5" customWidth="1"/>
    <col min="29" max="16384" width="9.140625" style="5"/>
  </cols>
  <sheetData>
    <row r="1" spans="1:30" x14ac:dyDescent="0.2">
      <c r="F1" s="10"/>
      <c r="H1" s="1189"/>
      <c r="I1" s="1189"/>
      <c r="J1" s="1190"/>
      <c r="K1" s="90"/>
      <c r="L1" s="90"/>
      <c r="M1" s="90"/>
      <c r="N1" s="1191"/>
      <c r="O1" s="1191"/>
      <c r="P1" s="1191"/>
      <c r="Q1" s="1191"/>
      <c r="R1" s="1191"/>
      <c r="S1" s="1191"/>
      <c r="T1" s="1191"/>
      <c r="U1" s="1191"/>
      <c r="V1" s="1191"/>
      <c r="W1" s="1191"/>
      <c r="X1" s="1191"/>
      <c r="Y1" s="1874" t="s">
        <v>331</v>
      </c>
      <c r="Z1" s="1874"/>
      <c r="AA1" s="1874"/>
      <c r="AB1" s="1874"/>
    </row>
    <row r="2" spans="1:30" x14ac:dyDescent="0.2">
      <c r="F2" s="10"/>
      <c r="H2" s="1189"/>
      <c r="I2" s="1189"/>
      <c r="J2" s="1190"/>
      <c r="K2" s="90"/>
      <c r="L2" s="90"/>
      <c r="M2" s="90"/>
      <c r="N2" s="1186"/>
      <c r="O2" s="1186"/>
      <c r="P2" s="1186"/>
      <c r="Q2" s="1186"/>
      <c r="R2" s="1186"/>
      <c r="S2" s="1186"/>
      <c r="T2" s="1186"/>
      <c r="U2" s="1186"/>
      <c r="V2" s="1186"/>
      <c r="W2" s="1186"/>
      <c r="X2" s="1186"/>
      <c r="Y2" s="1186"/>
      <c r="Z2" s="1186"/>
    </row>
    <row r="3" spans="1:30" ht="15.75" x14ac:dyDescent="0.2">
      <c r="A3" s="1382" t="s">
        <v>332</v>
      </c>
      <c r="B3" s="1382"/>
      <c r="C3" s="1382"/>
      <c r="D3" s="1382"/>
      <c r="E3" s="1382"/>
      <c r="F3" s="1382"/>
      <c r="G3" s="1382"/>
      <c r="H3" s="1382"/>
      <c r="I3" s="1382"/>
      <c r="J3" s="1382"/>
      <c r="K3" s="1382"/>
      <c r="L3" s="1382"/>
      <c r="M3" s="1382"/>
      <c r="N3" s="1382"/>
      <c r="O3" s="1382"/>
      <c r="P3" s="1382"/>
      <c r="Q3" s="1382"/>
      <c r="R3" s="1382"/>
      <c r="S3" s="1382"/>
      <c r="T3" s="1382"/>
      <c r="U3" s="1382"/>
      <c r="V3" s="1382"/>
      <c r="W3" s="1382"/>
      <c r="X3" s="1382"/>
      <c r="Y3" s="1382"/>
      <c r="Z3" s="1382"/>
    </row>
    <row r="4" spans="1:30" ht="15.75" x14ac:dyDescent="0.2">
      <c r="A4" s="1383" t="s">
        <v>37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  <c r="L4" s="1383"/>
      <c r="M4" s="1383"/>
      <c r="N4" s="1383"/>
      <c r="O4" s="1383"/>
      <c r="P4" s="1383"/>
      <c r="Q4" s="1383"/>
      <c r="R4" s="1383"/>
      <c r="S4" s="1383"/>
      <c r="T4" s="1383"/>
      <c r="U4" s="1383"/>
      <c r="V4" s="1383"/>
      <c r="W4" s="1383"/>
      <c r="X4" s="1383"/>
      <c r="Y4" s="1383"/>
      <c r="Z4" s="1383"/>
    </row>
    <row r="5" spans="1:30" ht="15.75" x14ac:dyDescent="0.2">
      <c r="A5" s="1384" t="s">
        <v>23</v>
      </c>
      <c r="B5" s="1384"/>
      <c r="C5" s="1384"/>
      <c r="D5" s="1384"/>
      <c r="E5" s="1384"/>
      <c r="F5" s="1384"/>
      <c r="G5" s="1384"/>
      <c r="H5" s="1384"/>
      <c r="I5" s="1384"/>
      <c r="J5" s="1384"/>
      <c r="K5" s="1384"/>
      <c r="L5" s="1384"/>
      <c r="M5" s="1384"/>
      <c r="N5" s="1384"/>
      <c r="O5" s="1384"/>
      <c r="P5" s="1384"/>
      <c r="Q5" s="1384"/>
      <c r="R5" s="1384"/>
      <c r="S5" s="1384"/>
      <c r="T5" s="1384"/>
      <c r="U5" s="1384"/>
      <c r="V5" s="1384"/>
      <c r="W5" s="1384"/>
      <c r="X5" s="1384"/>
      <c r="Y5" s="1384"/>
      <c r="Z5" s="1384"/>
      <c r="AA5" s="1"/>
      <c r="AB5" s="1"/>
      <c r="AC5" s="1"/>
    </row>
    <row r="6" spans="1:30" ht="13.5" thickBot="1" x14ac:dyDescent="0.25">
      <c r="Z6" s="1185" t="s">
        <v>298</v>
      </c>
    </row>
    <row r="7" spans="1:30" x14ac:dyDescent="0.2">
      <c r="A7" s="1386" t="s">
        <v>24</v>
      </c>
      <c r="B7" s="1389" t="s">
        <v>1</v>
      </c>
      <c r="C7" s="1389" t="s">
        <v>2</v>
      </c>
      <c r="D7" s="1389" t="s">
        <v>221</v>
      </c>
      <c r="E7" s="1392" t="s">
        <v>16</v>
      </c>
      <c r="F7" s="1395" t="s">
        <v>3</v>
      </c>
      <c r="G7" s="1389" t="s">
        <v>333</v>
      </c>
      <c r="H7" s="1429" t="s">
        <v>4</v>
      </c>
      <c r="I7" s="1868" t="s">
        <v>222</v>
      </c>
      <c r="J7" s="1432" t="s">
        <v>5</v>
      </c>
      <c r="K7" s="1871" t="s">
        <v>226</v>
      </c>
      <c r="L7" s="1872"/>
      <c r="M7" s="1872"/>
      <c r="N7" s="1873"/>
      <c r="O7" s="1847" t="s">
        <v>334</v>
      </c>
      <c r="P7" s="1848"/>
      <c r="Q7" s="1848"/>
      <c r="R7" s="1849"/>
      <c r="S7" s="1847" t="s">
        <v>335</v>
      </c>
      <c r="T7" s="1848"/>
      <c r="U7" s="1848"/>
      <c r="V7" s="1849"/>
      <c r="W7" s="1850" t="s">
        <v>227</v>
      </c>
      <c r="X7" s="1850" t="s">
        <v>329</v>
      </c>
      <c r="Y7" s="1853" t="s">
        <v>15</v>
      </c>
      <c r="Z7" s="1854"/>
      <c r="AA7" s="1854"/>
      <c r="AB7" s="1855"/>
    </row>
    <row r="8" spans="1:30" x14ac:dyDescent="0.2">
      <c r="A8" s="1387"/>
      <c r="B8" s="1390"/>
      <c r="C8" s="1390"/>
      <c r="D8" s="1390"/>
      <c r="E8" s="1393"/>
      <c r="F8" s="1396"/>
      <c r="G8" s="1390"/>
      <c r="H8" s="1430"/>
      <c r="I8" s="1869"/>
      <c r="J8" s="1433"/>
      <c r="K8" s="1856" t="s">
        <v>6</v>
      </c>
      <c r="L8" s="1858" t="s">
        <v>7</v>
      </c>
      <c r="M8" s="1859"/>
      <c r="N8" s="1860" t="s">
        <v>22</v>
      </c>
      <c r="O8" s="1862" t="s">
        <v>6</v>
      </c>
      <c r="P8" s="1864" t="s">
        <v>7</v>
      </c>
      <c r="Q8" s="1865"/>
      <c r="R8" s="1866" t="s">
        <v>22</v>
      </c>
      <c r="S8" s="1862" t="s">
        <v>6</v>
      </c>
      <c r="T8" s="1864" t="s">
        <v>7</v>
      </c>
      <c r="U8" s="1865"/>
      <c r="V8" s="1866" t="s">
        <v>22</v>
      </c>
      <c r="W8" s="1851"/>
      <c r="X8" s="1851"/>
      <c r="Y8" s="1875" t="s">
        <v>16</v>
      </c>
      <c r="Z8" s="1864" t="s">
        <v>8</v>
      </c>
      <c r="AA8" s="1877"/>
      <c r="AB8" s="1878"/>
    </row>
    <row r="9" spans="1:30" ht="86.25" thickBot="1" x14ac:dyDescent="0.25">
      <c r="A9" s="1388"/>
      <c r="B9" s="1391"/>
      <c r="C9" s="1391"/>
      <c r="D9" s="1391"/>
      <c r="E9" s="1394"/>
      <c r="F9" s="1397"/>
      <c r="G9" s="1391"/>
      <c r="H9" s="1431"/>
      <c r="I9" s="1870"/>
      <c r="J9" s="1434"/>
      <c r="K9" s="1857"/>
      <c r="L9" s="1192" t="s">
        <v>6</v>
      </c>
      <c r="M9" s="1192" t="s">
        <v>17</v>
      </c>
      <c r="N9" s="1861"/>
      <c r="O9" s="1863"/>
      <c r="P9" s="1193" t="s">
        <v>6</v>
      </c>
      <c r="Q9" s="1194" t="s">
        <v>17</v>
      </c>
      <c r="R9" s="1867"/>
      <c r="S9" s="1863"/>
      <c r="T9" s="1193" t="s">
        <v>6</v>
      </c>
      <c r="U9" s="1194" t="s">
        <v>17</v>
      </c>
      <c r="V9" s="1867"/>
      <c r="W9" s="1852"/>
      <c r="X9" s="1852"/>
      <c r="Y9" s="1876"/>
      <c r="Z9" s="1195" t="s">
        <v>143</v>
      </c>
      <c r="AA9" s="1195" t="s">
        <v>228</v>
      </c>
      <c r="AB9" s="1196" t="s">
        <v>330</v>
      </c>
    </row>
    <row r="10" spans="1:30" s="30" customFormat="1" ht="13.5" thickBot="1" x14ac:dyDescent="0.25">
      <c r="A10" s="1844" t="s">
        <v>135</v>
      </c>
      <c r="B10" s="1845"/>
      <c r="C10" s="1845"/>
      <c r="D10" s="1845"/>
      <c r="E10" s="1845"/>
      <c r="F10" s="1845"/>
      <c r="G10" s="1845"/>
      <c r="H10" s="1845"/>
      <c r="I10" s="1845"/>
      <c r="J10" s="1845"/>
      <c r="K10" s="1845"/>
      <c r="L10" s="1845"/>
      <c r="M10" s="1845"/>
      <c r="N10" s="1845"/>
      <c r="O10" s="1845"/>
      <c r="P10" s="1845"/>
      <c r="Q10" s="1845"/>
      <c r="R10" s="1845"/>
      <c r="S10" s="1845"/>
      <c r="T10" s="1845"/>
      <c r="U10" s="1845"/>
      <c r="V10" s="1845"/>
      <c r="W10" s="1845"/>
      <c r="X10" s="1845"/>
      <c r="Y10" s="1845"/>
      <c r="Z10" s="1845"/>
      <c r="AA10" s="1845"/>
      <c r="AB10" s="1846"/>
    </row>
    <row r="11" spans="1:30" s="30" customFormat="1" ht="13.5" thickBot="1" x14ac:dyDescent="0.25">
      <c r="A11" s="1829" t="s">
        <v>85</v>
      </c>
      <c r="B11" s="1830"/>
      <c r="C11" s="1830"/>
      <c r="D11" s="1830"/>
      <c r="E11" s="1830"/>
      <c r="F11" s="1830"/>
      <c r="G11" s="1830"/>
      <c r="H11" s="1830"/>
      <c r="I11" s="1830"/>
      <c r="J11" s="1830"/>
      <c r="K11" s="1830"/>
      <c r="L11" s="1830"/>
      <c r="M11" s="1830"/>
      <c r="N11" s="1830"/>
      <c r="O11" s="1830"/>
      <c r="P11" s="1830"/>
      <c r="Q11" s="1830"/>
      <c r="R11" s="1830"/>
      <c r="S11" s="1830"/>
      <c r="T11" s="1830"/>
      <c r="U11" s="1830"/>
      <c r="V11" s="1830"/>
      <c r="W11" s="1830"/>
      <c r="X11" s="1830"/>
      <c r="Y11" s="1830"/>
      <c r="Z11" s="1830"/>
      <c r="AA11" s="1830"/>
      <c r="AB11" s="1831"/>
    </row>
    <row r="12" spans="1:30" ht="26.25" thickBot="1" x14ac:dyDescent="0.25">
      <c r="A12" s="1197" t="s">
        <v>9</v>
      </c>
      <c r="B12" s="1832" t="s">
        <v>136</v>
      </c>
      <c r="C12" s="1833"/>
      <c r="D12" s="1833"/>
      <c r="E12" s="1833"/>
      <c r="F12" s="1833"/>
      <c r="G12" s="1833"/>
      <c r="H12" s="1833"/>
      <c r="I12" s="1833"/>
      <c r="J12" s="1833"/>
      <c r="K12" s="1833"/>
      <c r="L12" s="1833"/>
      <c r="M12" s="1833"/>
      <c r="N12" s="1833"/>
      <c r="O12" s="1833"/>
      <c r="P12" s="1833"/>
      <c r="Q12" s="1833"/>
      <c r="R12" s="1833"/>
      <c r="S12" s="1833"/>
      <c r="T12" s="1833"/>
      <c r="U12" s="1833"/>
      <c r="V12" s="1833"/>
      <c r="W12" s="1833"/>
      <c r="X12" s="1833"/>
      <c r="Y12" s="1833"/>
      <c r="Z12" s="1833"/>
      <c r="AA12" s="1833"/>
      <c r="AB12" s="1834"/>
      <c r="AD12" s="5" t="s">
        <v>341</v>
      </c>
    </row>
    <row r="13" spans="1:30" ht="13.5" thickBot="1" x14ac:dyDescent="0.25">
      <c r="A13" s="1198" t="s">
        <v>9</v>
      </c>
      <c r="B13" s="1199" t="s">
        <v>9</v>
      </c>
      <c r="C13" s="1589" t="s">
        <v>70</v>
      </c>
      <c r="D13" s="1590"/>
      <c r="E13" s="1590"/>
      <c r="F13" s="1590"/>
      <c r="G13" s="1590"/>
      <c r="H13" s="1590"/>
      <c r="I13" s="1590"/>
      <c r="J13" s="1590"/>
      <c r="K13" s="1590"/>
      <c r="L13" s="1590"/>
      <c r="M13" s="1590"/>
      <c r="N13" s="1590"/>
      <c r="O13" s="1835"/>
      <c r="P13" s="1835"/>
      <c r="Q13" s="1835"/>
      <c r="R13" s="1835"/>
      <c r="S13" s="1835"/>
      <c r="T13" s="1835"/>
      <c r="U13" s="1835"/>
      <c r="V13" s="1835"/>
      <c r="W13" s="1835"/>
      <c r="X13" s="1835"/>
      <c r="Y13" s="1835"/>
      <c r="Z13" s="1835"/>
      <c r="AA13" s="1835"/>
      <c r="AB13" s="1836"/>
    </row>
    <row r="14" spans="1:30" x14ac:dyDescent="0.2">
      <c r="A14" s="1837" t="s">
        <v>9</v>
      </c>
      <c r="B14" s="1490" t="s">
        <v>9</v>
      </c>
      <c r="C14" s="1840" t="s">
        <v>54</v>
      </c>
      <c r="D14" s="1842"/>
      <c r="E14" s="1514" t="s">
        <v>167</v>
      </c>
      <c r="F14" s="1408"/>
      <c r="G14" s="1412" t="s">
        <v>38</v>
      </c>
      <c r="H14" s="1520" t="s">
        <v>95</v>
      </c>
      <c r="I14" s="1822" t="s">
        <v>224</v>
      </c>
      <c r="J14" s="1200" t="s">
        <v>36</v>
      </c>
      <c r="K14" s="1201">
        <f>L14+N14</f>
        <v>161029</v>
      </c>
      <c r="L14" s="1202">
        <v>161029</v>
      </c>
      <c r="M14" s="1202"/>
      <c r="N14" s="1203"/>
      <c r="O14" s="1204">
        <f>+P14+R14</f>
        <v>161100</v>
      </c>
      <c r="P14" s="1205">
        <v>161100</v>
      </c>
      <c r="Q14" s="1205"/>
      <c r="R14" s="1206"/>
      <c r="S14" s="239"/>
      <c r="T14" s="229"/>
      <c r="U14" s="229"/>
      <c r="V14" s="240"/>
      <c r="W14" s="1207">
        <v>134000</v>
      </c>
      <c r="X14" s="1207"/>
      <c r="Y14" s="1502" t="s">
        <v>103</v>
      </c>
      <c r="Z14" s="1208">
        <v>80</v>
      </c>
      <c r="AA14" s="1209">
        <v>95</v>
      </c>
      <c r="AB14" s="1210">
        <v>110</v>
      </c>
      <c r="AC14" s="5" t="s">
        <v>344</v>
      </c>
    </row>
    <row r="15" spans="1:30" x14ac:dyDescent="0.2">
      <c r="A15" s="1838"/>
      <c r="B15" s="1445"/>
      <c r="C15" s="1840"/>
      <c r="D15" s="1842"/>
      <c r="E15" s="1514"/>
      <c r="F15" s="1408"/>
      <c r="G15" s="1412"/>
      <c r="H15" s="1520"/>
      <c r="I15" s="1822"/>
      <c r="J15" s="1211" t="s">
        <v>36</v>
      </c>
      <c r="K15" s="1212">
        <f>L15+N15</f>
        <v>7240</v>
      </c>
      <c r="L15" s="1213">
        <v>7240</v>
      </c>
      <c r="M15" s="1213"/>
      <c r="N15" s="1214"/>
      <c r="O15" s="1212">
        <f>+P15+R15</f>
        <v>7200</v>
      </c>
      <c r="P15" s="1183">
        <v>7200</v>
      </c>
      <c r="Q15" s="1183" t="s">
        <v>340</v>
      </c>
      <c r="R15" s="1184"/>
      <c r="S15" s="233"/>
      <c r="T15" s="222"/>
      <c r="U15" s="222"/>
      <c r="V15" s="234"/>
      <c r="W15" s="1215">
        <v>7200</v>
      </c>
      <c r="X15" s="1215">
        <v>7200</v>
      </c>
      <c r="Y15" s="1468"/>
      <c r="Z15" s="1154"/>
      <c r="AA15" s="1216"/>
      <c r="AB15" s="1217"/>
      <c r="AC15" s="5" t="s">
        <v>346</v>
      </c>
    </row>
    <row r="16" spans="1:30" x14ac:dyDescent="0.2">
      <c r="A16" s="1838"/>
      <c r="B16" s="1445"/>
      <c r="C16" s="1840"/>
      <c r="D16" s="1842"/>
      <c r="E16" s="1514"/>
      <c r="F16" s="1408"/>
      <c r="G16" s="1412"/>
      <c r="H16" s="1520"/>
      <c r="I16" s="1822"/>
      <c r="J16" s="25" t="s">
        <v>36</v>
      </c>
      <c r="K16" s="1201">
        <f>L16+N16</f>
        <v>21142</v>
      </c>
      <c r="L16" s="1218">
        <v>21142</v>
      </c>
      <c r="M16" s="1218"/>
      <c r="N16" s="1219"/>
      <c r="O16" s="1212">
        <f>+P16+R16</f>
        <v>19100</v>
      </c>
      <c r="P16" s="1183">
        <v>19100</v>
      </c>
      <c r="Q16" s="1183"/>
      <c r="R16" s="1184"/>
      <c r="S16" s="233"/>
      <c r="T16" s="222"/>
      <c r="U16" s="222"/>
      <c r="V16" s="234"/>
      <c r="W16" s="1215">
        <v>19100</v>
      </c>
      <c r="X16" s="1215">
        <v>19100</v>
      </c>
      <c r="Y16" s="17"/>
      <c r="Z16" s="1154"/>
      <c r="AA16" s="1216"/>
      <c r="AB16" s="1217"/>
      <c r="AC16" s="5" t="s">
        <v>345</v>
      </c>
    </row>
    <row r="17" spans="1:47" x14ac:dyDescent="0.2">
      <c r="A17" s="1838"/>
      <c r="B17" s="1445"/>
      <c r="C17" s="1840"/>
      <c r="D17" s="1842"/>
      <c r="E17" s="1514"/>
      <c r="F17" s="1408"/>
      <c r="G17" s="1412"/>
      <c r="H17" s="1520"/>
      <c r="I17" s="1187"/>
      <c r="J17" s="25" t="s">
        <v>36</v>
      </c>
      <c r="K17" s="1212">
        <f>+L17+N17</f>
        <v>14481</v>
      </c>
      <c r="L17" s="1220">
        <v>14481</v>
      </c>
      <c r="M17" s="1220"/>
      <c r="N17" s="1221"/>
      <c r="O17" s="1212"/>
      <c r="P17" s="1218"/>
      <c r="Q17" s="1218"/>
      <c r="R17" s="1219"/>
      <c r="S17" s="359"/>
      <c r="T17" s="224"/>
      <c r="U17" s="224"/>
      <c r="V17" s="244"/>
      <c r="W17" s="1222"/>
      <c r="X17" s="1222"/>
      <c r="Y17" s="17"/>
      <c r="Z17" s="1154"/>
      <c r="AA17" s="1216"/>
      <c r="AB17" s="1217"/>
    </row>
    <row r="18" spans="1:47" x14ac:dyDescent="0.2">
      <c r="A18" s="1838"/>
      <c r="B18" s="1445"/>
      <c r="C18" s="1840"/>
      <c r="D18" s="1842"/>
      <c r="E18" s="1514"/>
      <c r="F18" s="1408"/>
      <c r="G18" s="1412"/>
      <c r="H18" s="1520"/>
      <c r="I18" s="1187"/>
      <c r="J18" s="25" t="s">
        <v>36</v>
      </c>
      <c r="K18" s="1212"/>
      <c r="L18" s="1220"/>
      <c r="M18" s="1220"/>
      <c r="N18" s="1221"/>
      <c r="O18" s="1223">
        <f>+P18+R18</f>
        <v>37000</v>
      </c>
      <c r="P18" s="1218">
        <v>37000</v>
      </c>
      <c r="Q18" s="1218"/>
      <c r="R18" s="1219"/>
      <c r="S18" s="359"/>
      <c r="T18" s="224"/>
      <c r="U18" s="224"/>
      <c r="V18" s="244"/>
      <c r="W18" s="1224">
        <v>74000</v>
      </c>
      <c r="X18" s="1224">
        <v>111000</v>
      </c>
      <c r="Y18" s="17"/>
      <c r="Z18" s="1154"/>
      <c r="AA18" s="1216"/>
      <c r="AB18" s="1217"/>
      <c r="AC18" s="5" t="s">
        <v>342</v>
      </c>
    </row>
    <row r="19" spans="1:47" x14ac:dyDescent="0.2">
      <c r="A19" s="1838"/>
      <c r="B19" s="1445"/>
      <c r="C19" s="1840"/>
      <c r="D19" s="1842"/>
      <c r="E19" s="1514"/>
      <c r="F19" s="1408"/>
      <c r="G19" s="1412"/>
      <c r="H19" s="1520"/>
      <c r="I19" s="1187"/>
      <c r="J19" s="1225" t="s">
        <v>36</v>
      </c>
      <c r="K19" s="1226"/>
      <c r="L19" s="1220"/>
      <c r="M19" s="1220"/>
      <c r="N19" s="1221"/>
      <c r="O19" s="1223">
        <f>+P19+R19</f>
        <v>2135</v>
      </c>
      <c r="P19" s="1218">
        <v>2135</v>
      </c>
      <c r="Q19" s="1218"/>
      <c r="R19" s="1219"/>
      <c r="S19" s="359"/>
      <c r="T19" s="224"/>
      <c r="U19" s="224"/>
      <c r="V19" s="244"/>
      <c r="W19" s="1224">
        <v>2135</v>
      </c>
      <c r="X19" s="1224">
        <v>2135</v>
      </c>
      <c r="Y19" s="17"/>
      <c r="Z19" s="1154"/>
      <c r="AA19" s="1216"/>
      <c r="AB19" s="1217"/>
      <c r="AC19" s="5" t="s">
        <v>343</v>
      </c>
    </row>
    <row r="20" spans="1:47" ht="13.5" thickBot="1" x14ac:dyDescent="0.25">
      <c r="A20" s="1839"/>
      <c r="B20" s="1485"/>
      <c r="C20" s="1841"/>
      <c r="D20" s="1843"/>
      <c r="E20" s="1515"/>
      <c r="F20" s="1512"/>
      <c r="G20" s="1488"/>
      <c r="H20" s="1521"/>
      <c r="I20" s="1227"/>
      <c r="J20" s="1228" t="s">
        <v>10</v>
      </c>
      <c r="K20" s="1229">
        <f>SUM(K14:K17)</f>
        <v>203892</v>
      </c>
      <c r="L20" s="1230">
        <f>SUM(L14:L17)</f>
        <v>203892</v>
      </c>
      <c r="M20" s="1230">
        <f>SUM(M14:M16)</f>
        <v>0</v>
      </c>
      <c r="N20" s="1231">
        <f>SUM(N14:N16)</f>
        <v>0</v>
      </c>
      <c r="O20" s="1229">
        <f>SUM(O14:O19)</f>
        <v>226535</v>
      </c>
      <c r="P20" s="1229">
        <f t="shared" ref="P20:X20" si="0">SUM(P14:P19)</f>
        <v>226535</v>
      </c>
      <c r="Q20" s="1229">
        <f t="shared" si="0"/>
        <v>0</v>
      </c>
      <c r="R20" s="1229">
        <f t="shared" si="0"/>
        <v>0</v>
      </c>
      <c r="S20" s="1229">
        <f t="shared" si="0"/>
        <v>0</v>
      </c>
      <c r="T20" s="1229">
        <f t="shared" si="0"/>
        <v>0</v>
      </c>
      <c r="U20" s="1229">
        <f t="shared" si="0"/>
        <v>0</v>
      </c>
      <c r="V20" s="1229">
        <f t="shared" si="0"/>
        <v>0</v>
      </c>
      <c r="W20" s="1229">
        <f>SUM(W14:W19)</f>
        <v>236435</v>
      </c>
      <c r="X20" s="1229">
        <f t="shared" si="0"/>
        <v>139435</v>
      </c>
      <c r="Y20" s="18"/>
      <c r="Z20" s="1147"/>
      <c r="AA20" s="1232"/>
      <c r="AB20" s="695"/>
    </row>
    <row r="21" spans="1:47" ht="13.5" thickBot="1" x14ac:dyDescent="0.25">
      <c r="A21" s="1233" t="s">
        <v>9</v>
      </c>
      <c r="B21" s="11" t="s">
        <v>9</v>
      </c>
      <c r="C21" s="1548" t="s">
        <v>12</v>
      </c>
      <c r="D21" s="1548"/>
      <c r="E21" s="1548"/>
      <c r="F21" s="1548"/>
      <c r="G21" s="1548"/>
      <c r="H21" s="1548"/>
      <c r="I21" s="1548"/>
      <c r="J21" s="1574"/>
      <c r="K21" s="1234">
        <f>+K20</f>
        <v>203892</v>
      </c>
      <c r="L21" s="1234">
        <f>+L20</f>
        <v>203892</v>
      </c>
      <c r="M21" s="1234">
        <f>+M20</f>
        <v>0</v>
      </c>
      <c r="N21" s="1234">
        <f>+N20</f>
        <v>0</v>
      </c>
      <c r="O21" s="1234">
        <f>+O20</f>
        <v>226535</v>
      </c>
      <c r="P21" s="1234">
        <f t="shared" ref="P21:X21" si="1">+P20</f>
        <v>226535</v>
      </c>
      <c r="Q21" s="1234">
        <f t="shared" si="1"/>
        <v>0</v>
      </c>
      <c r="R21" s="1234">
        <f t="shared" si="1"/>
        <v>0</v>
      </c>
      <c r="S21" s="1234">
        <f t="shared" si="1"/>
        <v>0</v>
      </c>
      <c r="T21" s="1234">
        <f t="shared" si="1"/>
        <v>0</v>
      </c>
      <c r="U21" s="1234">
        <f t="shared" si="1"/>
        <v>0</v>
      </c>
      <c r="V21" s="1234">
        <f t="shared" si="1"/>
        <v>0</v>
      </c>
      <c r="W21" s="1234">
        <f t="shared" si="1"/>
        <v>236435</v>
      </c>
      <c r="X21" s="1234">
        <f t="shared" si="1"/>
        <v>139435</v>
      </c>
      <c r="Y21" s="1235"/>
      <c r="Z21" s="1236"/>
      <c r="AA21" s="1236"/>
      <c r="AB21" s="1237"/>
    </row>
    <row r="22" spans="1:47" ht="13.5" thickBot="1" x14ac:dyDescent="0.25">
      <c r="A22" s="1238" t="s">
        <v>9</v>
      </c>
      <c r="B22" s="1823" t="s">
        <v>13</v>
      </c>
      <c r="C22" s="1824"/>
      <c r="D22" s="1824"/>
      <c r="E22" s="1824"/>
      <c r="F22" s="1824"/>
      <c r="G22" s="1824"/>
      <c r="H22" s="1824"/>
      <c r="I22" s="1824"/>
      <c r="J22" s="1825"/>
      <c r="K22" s="1239">
        <f>SUM(K21)</f>
        <v>203892</v>
      </c>
      <c r="L22" s="1239">
        <f t="shared" ref="L22:X23" si="2">SUM(L21)</f>
        <v>203892</v>
      </c>
      <c r="M22" s="1239">
        <f t="shared" si="2"/>
        <v>0</v>
      </c>
      <c r="N22" s="1239">
        <f t="shared" si="2"/>
        <v>0</v>
      </c>
      <c r="O22" s="1239">
        <f t="shared" si="2"/>
        <v>226535</v>
      </c>
      <c r="P22" s="1239">
        <f t="shared" si="2"/>
        <v>226535</v>
      </c>
      <c r="Q22" s="1239">
        <f t="shared" si="2"/>
        <v>0</v>
      </c>
      <c r="R22" s="1239">
        <f t="shared" si="2"/>
        <v>0</v>
      </c>
      <c r="S22" s="1239">
        <f t="shared" si="2"/>
        <v>0</v>
      </c>
      <c r="T22" s="1239">
        <f t="shared" si="2"/>
        <v>0</v>
      </c>
      <c r="U22" s="1239">
        <f t="shared" si="2"/>
        <v>0</v>
      </c>
      <c r="V22" s="1239">
        <f t="shared" si="2"/>
        <v>0</v>
      </c>
      <c r="W22" s="1239">
        <f t="shared" si="2"/>
        <v>236435</v>
      </c>
      <c r="X22" s="1239">
        <f t="shared" si="2"/>
        <v>139435</v>
      </c>
      <c r="Y22" s="1826"/>
      <c r="Z22" s="1827"/>
      <c r="AA22" s="1827"/>
      <c r="AB22" s="1828"/>
    </row>
    <row r="23" spans="1:47" ht="13.5" thickBot="1" x14ac:dyDescent="0.25">
      <c r="A23" s="102" t="s">
        <v>55</v>
      </c>
      <c r="B23" s="1766" t="s">
        <v>128</v>
      </c>
      <c r="C23" s="1767"/>
      <c r="D23" s="1767"/>
      <c r="E23" s="1767"/>
      <c r="F23" s="1767"/>
      <c r="G23" s="1767"/>
      <c r="H23" s="1767"/>
      <c r="I23" s="1767"/>
      <c r="J23" s="1768"/>
      <c r="K23" s="1240">
        <f>SUM(K22)</f>
        <v>203892</v>
      </c>
      <c r="L23" s="1241">
        <f>SUM(L22)</f>
        <v>203892</v>
      </c>
      <c r="M23" s="1241">
        <f>SUM(M22)</f>
        <v>0</v>
      </c>
      <c r="N23" s="1242">
        <f>SUM(N22)</f>
        <v>0</v>
      </c>
      <c r="O23" s="1242">
        <f t="shared" si="2"/>
        <v>226535</v>
      </c>
      <c r="P23" s="1242">
        <f t="shared" si="2"/>
        <v>226535</v>
      </c>
      <c r="Q23" s="1242">
        <f t="shared" si="2"/>
        <v>0</v>
      </c>
      <c r="R23" s="1242">
        <f t="shared" si="2"/>
        <v>0</v>
      </c>
      <c r="S23" s="1242">
        <f t="shared" si="2"/>
        <v>0</v>
      </c>
      <c r="T23" s="1242">
        <f t="shared" si="2"/>
        <v>0</v>
      </c>
      <c r="U23" s="1242">
        <f t="shared" si="2"/>
        <v>0</v>
      </c>
      <c r="V23" s="1242">
        <f t="shared" si="2"/>
        <v>0</v>
      </c>
      <c r="W23" s="1242">
        <f>SUM(W22)</f>
        <v>236435</v>
      </c>
      <c r="X23" s="1242">
        <f t="shared" si="2"/>
        <v>139435</v>
      </c>
      <c r="Y23" s="1769"/>
      <c r="Z23" s="1770"/>
      <c r="AA23" s="1770"/>
      <c r="AB23" s="1771"/>
    </row>
    <row r="24" spans="1:47" s="22" customFormat="1" x14ac:dyDescent="0.2">
      <c r="A24" s="1623" t="s">
        <v>336</v>
      </c>
      <c r="B24" s="1623"/>
      <c r="C24" s="1623"/>
      <c r="D24" s="1623"/>
      <c r="E24" s="1623"/>
      <c r="F24" s="1623"/>
      <c r="G24" s="1623"/>
      <c r="H24" s="1623"/>
      <c r="I24" s="1623"/>
      <c r="J24" s="1623"/>
      <c r="K24" s="1623"/>
      <c r="L24" s="1623"/>
      <c r="M24" s="1623"/>
      <c r="N24" s="1623"/>
      <c r="O24" s="1623"/>
      <c r="P24" s="1623"/>
      <c r="Q24" s="1623"/>
      <c r="R24" s="1623"/>
      <c r="S24" s="1623"/>
      <c r="T24" s="1623"/>
      <c r="U24" s="1623"/>
      <c r="V24" s="1623"/>
      <c r="W24" s="1623"/>
      <c r="X24" s="1623"/>
      <c r="Y24" s="1623"/>
      <c r="Z24" s="1623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1:47" s="22" customFormat="1" x14ac:dyDescent="0.2">
      <c r="A25" s="1818" t="s">
        <v>337</v>
      </c>
      <c r="B25" s="1818"/>
      <c r="C25" s="1818"/>
      <c r="D25" s="1818"/>
      <c r="E25" s="1818"/>
      <c r="F25" s="1818"/>
      <c r="G25" s="1818"/>
      <c r="H25" s="1818"/>
      <c r="I25" s="1818"/>
      <c r="J25" s="1818"/>
      <c r="K25" s="1818"/>
      <c r="L25" s="1818"/>
      <c r="M25" s="1818"/>
      <c r="N25" s="1818"/>
      <c r="O25" s="1818"/>
      <c r="P25" s="1818"/>
      <c r="Q25" s="1818"/>
      <c r="R25" s="1818"/>
      <c r="S25" s="1818"/>
      <c r="T25" s="1818"/>
      <c r="U25" s="1818"/>
      <c r="V25" s="1818"/>
      <c r="W25" s="1818"/>
      <c r="X25" s="1818"/>
      <c r="Y25" s="1818"/>
      <c r="Z25" s="1818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1:47" s="22" customFormat="1" ht="13.5" thickBot="1" x14ac:dyDescent="0.25">
      <c r="A26" s="1799" t="s">
        <v>18</v>
      </c>
      <c r="B26" s="1799"/>
      <c r="C26" s="1799"/>
      <c r="D26" s="1799"/>
      <c r="E26" s="1799"/>
      <c r="F26" s="1799"/>
      <c r="G26" s="1799"/>
      <c r="H26" s="1799"/>
      <c r="I26" s="1799"/>
      <c r="J26" s="1799"/>
      <c r="K26" s="1799"/>
      <c r="L26" s="1799"/>
      <c r="M26" s="1799"/>
      <c r="N26" s="1799"/>
      <c r="O26" s="1188"/>
      <c r="P26" s="1188"/>
      <c r="Q26" s="1188"/>
      <c r="R26" s="1188"/>
      <c r="S26" s="1188"/>
      <c r="T26" s="1188"/>
      <c r="U26" s="1188"/>
      <c r="V26" s="1188"/>
      <c r="W26" s="1188"/>
      <c r="X26" s="1188"/>
      <c r="Y26" s="4"/>
      <c r="Z26" s="4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1:47" ht="13.5" thickBot="1" x14ac:dyDescent="0.25">
      <c r="A27" s="1800" t="s">
        <v>14</v>
      </c>
      <c r="B27" s="1801"/>
      <c r="C27" s="1801"/>
      <c r="D27" s="1801"/>
      <c r="E27" s="1801"/>
      <c r="F27" s="1801"/>
      <c r="G27" s="1801"/>
      <c r="H27" s="1801"/>
      <c r="I27" s="1801"/>
      <c r="J27" s="1802"/>
      <c r="K27" s="1800" t="s">
        <v>226</v>
      </c>
      <c r="L27" s="1801"/>
      <c r="M27" s="1801"/>
      <c r="N27" s="1802"/>
      <c r="O27" s="1819" t="s">
        <v>334</v>
      </c>
      <c r="P27" s="1820"/>
      <c r="Q27" s="1820"/>
      <c r="R27" s="1821"/>
      <c r="S27" s="1819" t="s">
        <v>335</v>
      </c>
      <c r="T27" s="1820"/>
      <c r="U27" s="1820"/>
      <c r="V27" s="1821"/>
      <c r="W27" s="1243"/>
      <c r="X27" s="1243"/>
      <c r="Y27" s="56"/>
    </row>
    <row r="28" spans="1:47" x14ac:dyDescent="0.2">
      <c r="A28" s="1792" t="s">
        <v>19</v>
      </c>
      <c r="B28" s="1793"/>
      <c r="C28" s="1793"/>
      <c r="D28" s="1793"/>
      <c r="E28" s="1793"/>
      <c r="F28" s="1793"/>
      <c r="G28" s="1793"/>
      <c r="H28" s="1793"/>
      <c r="I28" s="1793"/>
      <c r="J28" s="1794"/>
      <c r="K28" s="1815">
        <f>SUM(K29:N34)</f>
        <v>203892</v>
      </c>
      <c r="L28" s="1816"/>
      <c r="M28" s="1816"/>
      <c r="N28" s="1817"/>
      <c r="O28" s="1815">
        <f>SUM(O29:R34)</f>
        <v>226535</v>
      </c>
      <c r="P28" s="1816"/>
      <c r="Q28" s="1816"/>
      <c r="R28" s="1817"/>
      <c r="S28" s="1815">
        <f>SUM(S29:V34)</f>
        <v>0</v>
      </c>
      <c r="T28" s="1816"/>
      <c r="U28" s="1816"/>
      <c r="V28" s="1817"/>
      <c r="W28" s="1244"/>
      <c r="X28" s="1244"/>
      <c r="Y28" s="56"/>
    </row>
    <row r="29" spans="1:47" x14ac:dyDescent="0.2">
      <c r="A29" s="1795" t="s">
        <v>25</v>
      </c>
      <c r="B29" s="1796"/>
      <c r="C29" s="1796"/>
      <c r="D29" s="1796"/>
      <c r="E29" s="1796"/>
      <c r="F29" s="1796"/>
      <c r="G29" s="1796"/>
      <c r="H29" s="1796"/>
      <c r="I29" s="1796"/>
      <c r="J29" s="1797"/>
      <c r="K29" s="1809">
        <f>SUMIF(J14:J23,"sb",K14:K23)</f>
        <v>203892</v>
      </c>
      <c r="L29" s="1810"/>
      <c r="M29" s="1810"/>
      <c r="N29" s="1811"/>
      <c r="O29" s="1809">
        <f>SUMIF(J14:J23,"sb",O14:O23)</f>
        <v>226535</v>
      </c>
      <c r="P29" s="1810"/>
      <c r="Q29" s="1810"/>
      <c r="R29" s="1811"/>
      <c r="S29" s="1809">
        <f>SUMIF(R14:R23,"sb",S14:S23)</f>
        <v>0</v>
      </c>
      <c r="T29" s="1810"/>
      <c r="U29" s="1810"/>
      <c r="V29" s="1811"/>
      <c r="W29" s="1245"/>
      <c r="X29" s="1245"/>
      <c r="Y29" s="80"/>
    </row>
    <row r="30" spans="1:47" x14ac:dyDescent="0.2">
      <c r="A30" s="1773" t="s">
        <v>26</v>
      </c>
      <c r="B30" s="1774"/>
      <c r="C30" s="1774"/>
      <c r="D30" s="1774"/>
      <c r="E30" s="1774"/>
      <c r="F30" s="1774"/>
      <c r="G30" s="1774"/>
      <c r="H30" s="1774"/>
      <c r="I30" s="1774"/>
      <c r="J30" s="1775"/>
      <c r="K30" s="1809">
        <f>SUMIF(J14:J23,"SB(SP)",K14:K23)</f>
        <v>0</v>
      </c>
      <c r="L30" s="1810"/>
      <c r="M30" s="1810"/>
      <c r="N30" s="1811"/>
      <c r="O30" s="1809">
        <f>SUMIF(N14:N23,"SB(SP)",O14:O23)</f>
        <v>0</v>
      </c>
      <c r="P30" s="1810"/>
      <c r="Q30" s="1810"/>
      <c r="R30" s="1811"/>
      <c r="S30" s="1809">
        <f>SUMIF(R14:R23,"SB(SP)",S14:S23)</f>
        <v>0</v>
      </c>
      <c r="T30" s="1810"/>
      <c r="U30" s="1810"/>
      <c r="V30" s="1811"/>
      <c r="W30" s="1245"/>
      <c r="X30" s="1245"/>
    </row>
    <row r="31" spans="1:47" x14ac:dyDescent="0.2">
      <c r="A31" s="1773" t="s">
        <v>338</v>
      </c>
      <c r="B31" s="1774"/>
      <c r="C31" s="1774"/>
      <c r="D31" s="1774"/>
      <c r="E31" s="1774"/>
      <c r="F31" s="1774"/>
      <c r="G31" s="1774"/>
      <c r="H31" s="1774"/>
      <c r="I31" s="1774"/>
      <c r="J31" s="1775"/>
      <c r="K31" s="1809">
        <f>SUMIF(J14:J23,"SB(SPL)",K14:K23)</f>
        <v>0</v>
      </c>
      <c r="L31" s="1810"/>
      <c r="M31" s="1810"/>
      <c r="N31" s="1811"/>
      <c r="O31" s="1809">
        <f>SUMIF(N14:N23,"SB(SPL)",O14:O23)</f>
        <v>0</v>
      </c>
      <c r="P31" s="1810"/>
      <c r="Q31" s="1810"/>
      <c r="R31" s="1811"/>
      <c r="S31" s="1809">
        <f>SUMIF(R14:R23,"SB(SPL)",S14:S23)</f>
        <v>0</v>
      </c>
      <c r="T31" s="1810"/>
      <c r="U31" s="1810"/>
      <c r="V31" s="1811"/>
      <c r="W31" s="1245"/>
      <c r="X31" s="1245"/>
      <c r="Y31" s="58"/>
      <c r="Z31" s="1"/>
      <c r="AA31" s="1"/>
      <c r="AB31" s="1"/>
    </row>
    <row r="32" spans="1:47" x14ac:dyDescent="0.2">
      <c r="A32" s="1773" t="s">
        <v>339</v>
      </c>
      <c r="B32" s="1774"/>
      <c r="C32" s="1774"/>
      <c r="D32" s="1774"/>
      <c r="E32" s="1774"/>
      <c r="F32" s="1774"/>
      <c r="G32" s="1774"/>
      <c r="H32" s="1774"/>
      <c r="I32" s="1774"/>
      <c r="J32" s="1775"/>
      <c r="K32" s="1809">
        <f>SUMIF(J14:J21,"SB(L)",K14:K21)</f>
        <v>0</v>
      </c>
      <c r="L32" s="1810"/>
      <c r="M32" s="1810"/>
      <c r="N32" s="1811"/>
      <c r="O32" s="1809">
        <f>SUMIF(N14:N21,"SB(L)",O14:O21)</f>
        <v>0</v>
      </c>
      <c r="P32" s="1810"/>
      <c r="Q32" s="1810"/>
      <c r="R32" s="1811"/>
      <c r="S32" s="1809">
        <f>SUMIF(R14:R21,"SB(L)",S14:S21)</f>
        <v>0</v>
      </c>
      <c r="T32" s="1810"/>
      <c r="U32" s="1810"/>
      <c r="V32" s="1811"/>
      <c r="W32" s="1245"/>
      <c r="X32" s="1245"/>
      <c r="Y32" s="58"/>
      <c r="Z32" s="1"/>
      <c r="AA32" s="1"/>
      <c r="AB32" s="1"/>
    </row>
    <row r="33" spans="1:28" x14ac:dyDescent="0.2">
      <c r="A33" s="1773" t="s">
        <v>180</v>
      </c>
      <c r="B33" s="1790"/>
      <c r="C33" s="1790"/>
      <c r="D33" s="1790"/>
      <c r="E33" s="1790"/>
      <c r="F33" s="1790"/>
      <c r="G33" s="1790"/>
      <c r="H33" s="1790"/>
      <c r="I33" s="1790"/>
      <c r="J33" s="1791"/>
      <c r="K33" s="1809">
        <f>SUMIF(J14:J21,"SB(VR)",K14:K21)</f>
        <v>0</v>
      </c>
      <c r="L33" s="1810"/>
      <c r="M33" s="1810"/>
      <c r="N33" s="1811"/>
      <c r="O33" s="1809">
        <f>SUMIF(N14:N21,"SB(VR)",O14:O21)</f>
        <v>0</v>
      </c>
      <c r="P33" s="1810"/>
      <c r="Q33" s="1810"/>
      <c r="R33" s="1811"/>
      <c r="S33" s="1809">
        <f>SUMIF(R14:R21,"SB(VR)",S14:S21)</f>
        <v>0</v>
      </c>
      <c r="T33" s="1810"/>
      <c r="U33" s="1810"/>
      <c r="V33" s="1811"/>
      <c r="W33" s="1245"/>
      <c r="X33" s="1245"/>
      <c r="Y33" s="58"/>
      <c r="Z33" s="1"/>
      <c r="AA33" s="1"/>
      <c r="AB33" s="1"/>
    </row>
    <row r="34" spans="1:28" x14ac:dyDescent="0.2">
      <c r="A34" s="1773" t="s">
        <v>28</v>
      </c>
      <c r="B34" s="1774"/>
      <c r="C34" s="1774"/>
      <c r="D34" s="1774"/>
      <c r="E34" s="1774"/>
      <c r="F34" s="1774"/>
      <c r="G34" s="1774"/>
      <c r="H34" s="1774"/>
      <c r="I34" s="1774"/>
      <c r="J34" s="1775"/>
      <c r="K34" s="1809">
        <f>SUMIF(J14:J23,"SB(P)",K14:K23)</f>
        <v>0</v>
      </c>
      <c r="L34" s="1810"/>
      <c r="M34" s="1810"/>
      <c r="N34" s="1811"/>
      <c r="O34" s="1809">
        <f>SUMIF(N14:N23,"SB(P)",O14:O23)</f>
        <v>0</v>
      </c>
      <c r="P34" s="1810"/>
      <c r="Q34" s="1810"/>
      <c r="R34" s="1811"/>
      <c r="S34" s="1809">
        <f>SUMIF(R14:R23,"SB(P)",S14:S23)</f>
        <v>0</v>
      </c>
      <c r="T34" s="1810"/>
      <c r="U34" s="1810"/>
      <c r="V34" s="1811"/>
      <c r="W34" s="1245"/>
      <c r="X34" s="1245"/>
      <c r="Y34" s="1247"/>
    </row>
    <row r="35" spans="1:28" x14ac:dyDescent="0.2">
      <c r="A35" s="1787" t="s">
        <v>20</v>
      </c>
      <c r="B35" s="1788"/>
      <c r="C35" s="1788"/>
      <c r="D35" s="1788"/>
      <c r="E35" s="1788"/>
      <c r="F35" s="1788"/>
      <c r="G35" s="1788"/>
      <c r="H35" s="1788"/>
      <c r="I35" s="1788"/>
      <c r="J35" s="1789"/>
      <c r="K35" s="1812">
        <f>SUM(K36:N39)</f>
        <v>0</v>
      </c>
      <c r="L35" s="1813"/>
      <c r="M35" s="1813"/>
      <c r="N35" s="1814"/>
      <c r="O35" s="1812">
        <f>SUM(O36:R39)</f>
        <v>0</v>
      </c>
      <c r="P35" s="1813"/>
      <c r="Q35" s="1813"/>
      <c r="R35" s="1814"/>
      <c r="S35" s="1812">
        <f>SUM(S36:V39)</f>
        <v>0</v>
      </c>
      <c r="T35" s="1813"/>
      <c r="U35" s="1813"/>
      <c r="V35" s="1814"/>
      <c r="W35" s="1244"/>
      <c r="X35" s="1244"/>
    </row>
    <row r="36" spans="1:28" x14ac:dyDescent="0.2">
      <c r="A36" s="1781" t="s">
        <v>29</v>
      </c>
      <c r="B36" s="1782"/>
      <c r="C36" s="1782"/>
      <c r="D36" s="1782"/>
      <c r="E36" s="1782"/>
      <c r="F36" s="1782"/>
      <c r="G36" s="1782"/>
      <c r="H36" s="1782"/>
      <c r="I36" s="1782"/>
      <c r="J36" s="1783"/>
      <c r="K36" s="1809">
        <f>SUMIF(J14:J23,"ES",K14:K23)</f>
        <v>0</v>
      </c>
      <c r="L36" s="1810"/>
      <c r="M36" s="1810"/>
      <c r="N36" s="1811"/>
      <c r="O36" s="1809">
        <f>SUMIF(N14:N23,"ES",O14:O23)</f>
        <v>0</v>
      </c>
      <c r="P36" s="1810"/>
      <c r="Q36" s="1810"/>
      <c r="R36" s="1811"/>
      <c r="S36" s="1809">
        <f>SUMIF(R14:R23,"ES",S14:S23)</f>
        <v>0</v>
      </c>
      <c r="T36" s="1810"/>
      <c r="U36" s="1810"/>
      <c r="V36" s="1811"/>
      <c r="W36" s="1245"/>
      <c r="X36" s="1245"/>
    </row>
    <row r="37" spans="1:28" x14ac:dyDescent="0.2">
      <c r="A37" s="1784" t="s">
        <v>30</v>
      </c>
      <c r="B37" s="1785"/>
      <c r="C37" s="1785"/>
      <c r="D37" s="1785"/>
      <c r="E37" s="1785"/>
      <c r="F37" s="1785"/>
      <c r="G37" s="1785"/>
      <c r="H37" s="1785"/>
      <c r="I37" s="1785"/>
      <c r="J37" s="1786"/>
      <c r="K37" s="1809">
        <f>SUMIF(J14:J23,"KPP",K14:K23)</f>
        <v>0</v>
      </c>
      <c r="L37" s="1810"/>
      <c r="M37" s="1810"/>
      <c r="N37" s="1811"/>
      <c r="O37" s="1809">
        <f>SUMIF(N14:N23,"KPP",O14:O23)</f>
        <v>0</v>
      </c>
      <c r="P37" s="1810"/>
      <c r="Q37" s="1810"/>
      <c r="R37" s="1811"/>
      <c r="S37" s="1809">
        <f>SUMIF(R14:R23,"KPP",S14:S23)</f>
        <v>0</v>
      </c>
      <c r="T37" s="1810"/>
      <c r="U37" s="1810"/>
      <c r="V37" s="1811"/>
      <c r="W37" s="1245"/>
      <c r="X37" s="1245"/>
    </row>
    <row r="38" spans="1:28" x14ac:dyDescent="0.2">
      <c r="A38" s="1773" t="s">
        <v>31</v>
      </c>
      <c r="B38" s="1774"/>
      <c r="C38" s="1774"/>
      <c r="D38" s="1774"/>
      <c r="E38" s="1774"/>
      <c r="F38" s="1774"/>
      <c r="G38" s="1774"/>
      <c r="H38" s="1774"/>
      <c r="I38" s="1774"/>
      <c r="J38" s="1775"/>
      <c r="K38" s="1809">
        <f>SUMIF(J14:J23,"LRVB",K14:K23)</f>
        <v>0</v>
      </c>
      <c r="L38" s="1810"/>
      <c r="M38" s="1810"/>
      <c r="N38" s="1811"/>
      <c r="O38" s="1809">
        <f>SUMIF(N14:N23,"LRVB",O14:O23)</f>
        <v>0</v>
      </c>
      <c r="P38" s="1810"/>
      <c r="Q38" s="1810"/>
      <c r="R38" s="1811"/>
      <c r="S38" s="1809">
        <f>SUMIF(R14:R23,"LRVB",S14:S23)</f>
        <v>0</v>
      </c>
      <c r="T38" s="1810"/>
      <c r="U38" s="1810"/>
      <c r="V38" s="1811"/>
      <c r="W38" s="1245"/>
      <c r="X38" s="1245"/>
    </row>
    <row r="39" spans="1:28" x14ac:dyDescent="0.2">
      <c r="A39" s="1773" t="s">
        <v>32</v>
      </c>
      <c r="B39" s="1774"/>
      <c r="C39" s="1774"/>
      <c r="D39" s="1774"/>
      <c r="E39" s="1774"/>
      <c r="F39" s="1774"/>
      <c r="G39" s="1774"/>
      <c r="H39" s="1774"/>
      <c r="I39" s="1774"/>
      <c r="J39" s="1775"/>
      <c r="K39" s="1809">
        <f>SUMIF(J14:J23,"Kt",K14:K23)</f>
        <v>0</v>
      </c>
      <c r="L39" s="1810"/>
      <c r="M39" s="1810"/>
      <c r="N39" s="1811"/>
      <c r="O39" s="1809">
        <f>SUMIF(N14:N23,"Kt",O14:O23)</f>
        <v>0</v>
      </c>
      <c r="P39" s="1810"/>
      <c r="Q39" s="1810"/>
      <c r="R39" s="1811"/>
      <c r="S39" s="1809">
        <f>SUMIF(R14:R23,"Kt",S14:S23)</f>
        <v>0</v>
      </c>
      <c r="T39" s="1810"/>
      <c r="U39" s="1810"/>
      <c r="V39" s="1811"/>
      <c r="W39" s="1245"/>
      <c r="X39" s="1245"/>
      <c r="Z39" s="5"/>
    </row>
    <row r="40" spans="1:28" ht="13.5" thickBot="1" x14ac:dyDescent="0.25">
      <c r="A40" s="1778" t="s">
        <v>21</v>
      </c>
      <c r="B40" s="1779"/>
      <c r="C40" s="1779"/>
      <c r="D40" s="1779"/>
      <c r="E40" s="1779"/>
      <c r="F40" s="1779"/>
      <c r="G40" s="1779"/>
      <c r="H40" s="1779"/>
      <c r="I40" s="1779"/>
      <c r="J40" s="1780"/>
      <c r="K40" s="1806">
        <f>SUM(K28,K35)</f>
        <v>203892</v>
      </c>
      <c r="L40" s="1807"/>
      <c r="M40" s="1807"/>
      <c r="N40" s="1808"/>
      <c r="O40" s="1806">
        <f>SUM(O28,O35)</f>
        <v>226535</v>
      </c>
      <c r="P40" s="1807"/>
      <c r="Q40" s="1807"/>
      <c r="R40" s="1808"/>
      <c r="S40" s="1806">
        <f>SUM(S28,S35)</f>
        <v>0</v>
      </c>
      <c r="T40" s="1807"/>
      <c r="U40" s="1807"/>
      <c r="V40" s="1808"/>
      <c r="W40" s="1246"/>
      <c r="X40" s="1246"/>
      <c r="Z40" s="5"/>
    </row>
    <row r="41" spans="1:28" x14ac:dyDescent="0.2">
      <c r="Y41" s="57"/>
      <c r="Z41" s="5"/>
    </row>
    <row r="42" spans="1:28" x14ac:dyDescent="0.2"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80"/>
      <c r="Z42" s="5"/>
    </row>
    <row r="43" spans="1:28" x14ac:dyDescent="0.2">
      <c r="L43" s="80"/>
      <c r="M43" s="80"/>
      <c r="Z43" s="5"/>
    </row>
    <row r="44" spans="1:28" x14ac:dyDescent="0.2">
      <c r="L44" s="291"/>
      <c r="Z44" s="5"/>
    </row>
  </sheetData>
  <mergeCells count="109">
    <mergeCell ref="Y1:AB1"/>
    <mergeCell ref="A3:Z3"/>
    <mergeCell ref="A4:Z4"/>
    <mergeCell ref="A5:Z5"/>
    <mergeCell ref="A7:A9"/>
    <mergeCell ref="B7:B9"/>
    <mergeCell ref="C7:C9"/>
    <mergeCell ref="D7:D9"/>
    <mergeCell ref="E7:E9"/>
    <mergeCell ref="F7:F9"/>
    <mergeCell ref="S8:S9"/>
    <mergeCell ref="T8:U8"/>
    <mergeCell ref="V8:V9"/>
    <mergeCell ref="Y8:Y9"/>
    <mergeCell ref="Z8:AB8"/>
    <mergeCell ref="A10:AB10"/>
    <mergeCell ref="S7:V7"/>
    <mergeCell ref="W7:W9"/>
    <mergeCell ref="X7:X9"/>
    <mergeCell ref="Y7:AB7"/>
    <mergeCell ref="K8:K9"/>
    <mergeCell ref="L8:M8"/>
    <mergeCell ref="N8:N9"/>
    <mergeCell ref="O8:O9"/>
    <mergeCell ref="P8:Q8"/>
    <mergeCell ref="R8:R9"/>
    <mergeCell ref="G7:G9"/>
    <mergeCell ref="H7:H9"/>
    <mergeCell ref="I7:I9"/>
    <mergeCell ref="J7:J9"/>
    <mergeCell ref="K7:N7"/>
    <mergeCell ref="O7:R7"/>
    <mergeCell ref="A11:AB11"/>
    <mergeCell ref="B12:AB12"/>
    <mergeCell ref="C13:AB13"/>
    <mergeCell ref="A14:A20"/>
    <mergeCell ref="B14:B20"/>
    <mergeCell ref="C14:C20"/>
    <mergeCell ref="D14:D20"/>
    <mergeCell ref="E14:E20"/>
    <mergeCell ref="F14:F20"/>
    <mergeCell ref="G14:G20"/>
    <mergeCell ref="Y23:AB23"/>
    <mergeCell ref="A24:Z24"/>
    <mergeCell ref="A25:Z25"/>
    <mergeCell ref="A26:N26"/>
    <mergeCell ref="A27:J27"/>
    <mergeCell ref="K27:N27"/>
    <mergeCell ref="O27:R27"/>
    <mergeCell ref="S27:V27"/>
    <mergeCell ref="H14:H20"/>
    <mergeCell ref="I14:I16"/>
    <mergeCell ref="Y14:Y15"/>
    <mergeCell ref="C21:J21"/>
    <mergeCell ref="B22:J22"/>
    <mergeCell ref="Y22:AB22"/>
    <mergeCell ref="A28:J28"/>
    <mergeCell ref="K28:N28"/>
    <mergeCell ref="O28:R28"/>
    <mergeCell ref="S28:V28"/>
    <mergeCell ref="A29:J29"/>
    <mergeCell ref="K29:N29"/>
    <mergeCell ref="O29:R29"/>
    <mergeCell ref="S29:V29"/>
    <mergeCell ref="B23:J23"/>
    <mergeCell ref="A32:J32"/>
    <mergeCell ref="K32:N32"/>
    <mergeCell ref="O32:R32"/>
    <mergeCell ref="S32:V32"/>
    <mergeCell ref="A33:J33"/>
    <mergeCell ref="K33:N33"/>
    <mergeCell ref="O33:R33"/>
    <mergeCell ref="S33:V33"/>
    <mergeCell ref="A30:J30"/>
    <mergeCell ref="K30:N30"/>
    <mergeCell ref="O30:R30"/>
    <mergeCell ref="S30:V30"/>
    <mergeCell ref="A31:J31"/>
    <mergeCell ref="K31:N31"/>
    <mergeCell ref="O31:R31"/>
    <mergeCell ref="S31:V31"/>
    <mergeCell ref="A36:J36"/>
    <mergeCell ref="K36:N36"/>
    <mergeCell ref="O36:R36"/>
    <mergeCell ref="S36:V36"/>
    <mergeCell ref="A37:J37"/>
    <mergeCell ref="K37:N37"/>
    <mergeCell ref="O37:R37"/>
    <mergeCell ref="S37:V37"/>
    <mergeCell ref="A34:J34"/>
    <mergeCell ref="K34:N34"/>
    <mergeCell ref="O34:R34"/>
    <mergeCell ref="S34:V34"/>
    <mergeCell ref="A35:J35"/>
    <mergeCell ref="K35:N35"/>
    <mergeCell ref="O35:R35"/>
    <mergeCell ref="S35:V35"/>
    <mergeCell ref="A40:J40"/>
    <mergeCell ref="K40:N40"/>
    <mergeCell ref="O40:R40"/>
    <mergeCell ref="S40:V40"/>
    <mergeCell ref="A38:J38"/>
    <mergeCell ref="K38:N38"/>
    <mergeCell ref="O38:R38"/>
    <mergeCell ref="S38:V38"/>
    <mergeCell ref="A39:J39"/>
    <mergeCell ref="K39:N39"/>
    <mergeCell ref="O39:R39"/>
    <mergeCell ref="S39:V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8"/>
  <sheetViews>
    <sheetView tabSelected="1" zoomScale="115" zoomScaleNormal="115" workbookViewId="0">
      <selection activeCell="HU8" sqref="HU8"/>
    </sheetView>
  </sheetViews>
  <sheetFormatPr defaultRowHeight="12.75" x14ac:dyDescent="0.2"/>
  <cols>
    <col min="1" max="1" width="7.42578125" customWidth="1"/>
    <col min="2" max="2" width="34.28515625" customWidth="1"/>
    <col min="3" max="3" width="25.7109375" customWidth="1"/>
    <col min="4" max="4" width="8.5703125" customWidth="1"/>
    <col min="5" max="5" width="9" customWidth="1"/>
    <col min="6" max="6" width="14.28515625" customWidth="1"/>
    <col min="7" max="7" width="11.140625" customWidth="1"/>
    <col min="8" max="8" width="10.5703125" style="1249" customWidth="1"/>
    <col min="9" max="9" width="8.85546875" customWidth="1"/>
    <col min="10" max="10" width="12.7109375" customWidth="1"/>
    <col min="11" max="223" width="0" hidden="1" customWidth="1"/>
    <col min="224" max="224" width="7.140625" customWidth="1"/>
    <col min="228" max="228" width="0" hidden="1" customWidth="1"/>
    <col min="229" max="229" width="8.85546875" customWidth="1"/>
    <col min="230" max="230" width="0.140625" hidden="1" customWidth="1"/>
    <col min="231" max="231" width="14.28515625" hidden="1" customWidth="1"/>
    <col min="232" max="235" width="9.140625" hidden="1" customWidth="1"/>
    <col min="258" max="258" width="8.28515625" customWidth="1"/>
    <col min="259" max="259" width="38.85546875" customWidth="1"/>
    <col min="260" max="260" width="27.28515625" customWidth="1"/>
    <col min="261" max="261" width="8.7109375" customWidth="1"/>
    <col min="262" max="262" width="8.42578125" customWidth="1"/>
    <col min="263" max="263" width="13" customWidth="1"/>
    <col min="264" max="264" width="11.140625" customWidth="1"/>
    <col min="265" max="265" width="7.28515625" customWidth="1"/>
    <col min="266" max="266" width="7.5703125" customWidth="1"/>
    <col min="267" max="267" width="7.42578125" customWidth="1"/>
    <col min="268" max="268" width="7.28515625" customWidth="1"/>
    <col min="269" max="482" width="0" hidden="1" customWidth="1"/>
    <col min="484" max="484" width="0" hidden="1" customWidth="1"/>
    <col min="486" max="486" width="23" customWidth="1"/>
    <col min="487" max="487" width="14.28515625" customWidth="1"/>
    <col min="514" max="514" width="8.28515625" customWidth="1"/>
    <col min="515" max="515" width="38.85546875" customWidth="1"/>
    <col min="516" max="516" width="27.28515625" customWidth="1"/>
    <col min="517" max="517" width="8.7109375" customWidth="1"/>
    <col min="518" max="518" width="8.42578125" customWidth="1"/>
    <col min="519" max="519" width="13" customWidth="1"/>
    <col min="520" max="520" width="11.140625" customWidth="1"/>
    <col min="521" max="521" width="7.28515625" customWidth="1"/>
    <col min="522" max="522" width="7.5703125" customWidth="1"/>
    <col min="523" max="523" width="7.42578125" customWidth="1"/>
    <col min="524" max="524" width="7.28515625" customWidth="1"/>
    <col min="525" max="738" width="0" hidden="1" customWidth="1"/>
    <col min="740" max="740" width="0" hidden="1" customWidth="1"/>
    <col min="742" max="742" width="23" customWidth="1"/>
    <col min="743" max="743" width="14.28515625" customWidth="1"/>
    <col min="770" max="770" width="8.28515625" customWidth="1"/>
    <col min="771" max="771" width="38.85546875" customWidth="1"/>
    <col min="772" max="772" width="27.28515625" customWidth="1"/>
    <col min="773" max="773" width="8.7109375" customWidth="1"/>
    <col min="774" max="774" width="8.42578125" customWidth="1"/>
    <col min="775" max="775" width="13" customWidth="1"/>
    <col min="776" max="776" width="11.140625" customWidth="1"/>
    <col min="777" max="777" width="7.28515625" customWidth="1"/>
    <col min="778" max="778" width="7.5703125" customWidth="1"/>
    <col min="779" max="779" width="7.42578125" customWidth="1"/>
    <col min="780" max="780" width="7.28515625" customWidth="1"/>
    <col min="781" max="994" width="0" hidden="1" customWidth="1"/>
    <col min="996" max="996" width="0" hidden="1" customWidth="1"/>
    <col min="998" max="998" width="23" customWidth="1"/>
    <col min="999" max="999" width="14.28515625" customWidth="1"/>
    <col min="1026" max="1026" width="8.28515625" customWidth="1"/>
    <col min="1027" max="1027" width="38.85546875" customWidth="1"/>
    <col min="1028" max="1028" width="27.28515625" customWidth="1"/>
    <col min="1029" max="1029" width="8.7109375" customWidth="1"/>
    <col min="1030" max="1030" width="8.42578125" customWidth="1"/>
    <col min="1031" max="1031" width="13" customWidth="1"/>
    <col min="1032" max="1032" width="11.140625" customWidth="1"/>
    <col min="1033" max="1033" width="7.28515625" customWidth="1"/>
    <col min="1034" max="1034" width="7.5703125" customWidth="1"/>
    <col min="1035" max="1035" width="7.42578125" customWidth="1"/>
    <col min="1036" max="1036" width="7.28515625" customWidth="1"/>
    <col min="1037" max="1250" width="0" hidden="1" customWidth="1"/>
    <col min="1252" max="1252" width="0" hidden="1" customWidth="1"/>
    <col min="1254" max="1254" width="23" customWidth="1"/>
    <col min="1255" max="1255" width="14.28515625" customWidth="1"/>
    <col min="1282" max="1282" width="8.28515625" customWidth="1"/>
    <col min="1283" max="1283" width="38.85546875" customWidth="1"/>
    <col min="1284" max="1284" width="27.28515625" customWidth="1"/>
    <col min="1285" max="1285" width="8.7109375" customWidth="1"/>
    <col min="1286" max="1286" width="8.42578125" customWidth="1"/>
    <col min="1287" max="1287" width="13" customWidth="1"/>
    <col min="1288" max="1288" width="11.140625" customWidth="1"/>
    <col min="1289" max="1289" width="7.28515625" customWidth="1"/>
    <col min="1290" max="1290" width="7.5703125" customWidth="1"/>
    <col min="1291" max="1291" width="7.42578125" customWidth="1"/>
    <col min="1292" max="1292" width="7.28515625" customWidth="1"/>
    <col min="1293" max="1506" width="0" hidden="1" customWidth="1"/>
    <col min="1508" max="1508" width="0" hidden="1" customWidth="1"/>
    <col min="1510" max="1510" width="23" customWidth="1"/>
    <col min="1511" max="1511" width="14.28515625" customWidth="1"/>
    <col min="1538" max="1538" width="8.28515625" customWidth="1"/>
    <col min="1539" max="1539" width="38.85546875" customWidth="1"/>
    <col min="1540" max="1540" width="27.28515625" customWidth="1"/>
    <col min="1541" max="1541" width="8.7109375" customWidth="1"/>
    <col min="1542" max="1542" width="8.42578125" customWidth="1"/>
    <col min="1543" max="1543" width="13" customWidth="1"/>
    <col min="1544" max="1544" width="11.140625" customWidth="1"/>
    <col min="1545" max="1545" width="7.28515625" customWidth="1"/>
    <col min="1546" max="1546" width="7.5703125" customWidth="1"/>
    <col min="1547" max="1547" width="7.42578125" customWidth="1"/>
    <col min="1548" max="1548" width="7.28515625" customWidth="1"/>
    <col min="1549" max="1762" width="0" hidden="1" customWidth="1"/>
    <col min="1764" max="1764" width="0" hidden="1" customWidth="1"/>
    <col min="1766" max="1766" width="23" customWidth="1"/>
    <col min="1767" max="1767" width="14.28515625" customWidth="1"/>
    <col min="1794" max="1794" width="8.28515625" customWidth="1"/>
    <col min="1795" max="1795" width="38.85546875" customWidth="1"/>
    <col min="1796" max="1796" width="27.28515625" customWidth="1"/>
    <col min="1797" max="1797" width="8.7109375" customWidth="1"/>
    <col min="1798" max="1798" width="8.42578125" customWidth="1"/>
    <col min="1799" max="1799" width="13" customWidth="1"/>
    <col min="1800" max="1800" width="11.140625" customWidth="1"/>
    <col min="1801" max="1801" width="7.28515625" customWidth="1"/>
    <col min="1802" max="1802" width="7.5703125" customWidth="1"/>
    <col min="1803" max="1803" width="7.42578125" customWidth="1"/>
    <col min="1804" max="1804" width="7.28515625" customWidth="1"/>
    <col min="1805" max="2018" width="0" hidden="1" customWidth="1"/>
    <col min="2020" max="2020" width="0" hidden="1" customWidth="1"/>
    <col min="2022" max="2022" width="23" customWidth="1"/>
    <col min="2023" max="2023" width="14.28515625" customWidth="1"/>
    <col min="2050" max="2050" width="8.28515625" customWidth="1"/>
    <col min="2051" max="2051" width="38.85546875" customWidth="1"/>
    <col min="2052" max="2052" width="27.28515625" customWidth="1"/>
    <col min="2053" max="2053" width="8.7109375" customWidth="1"/>
    <col min="2054" max="2054" width="8.42578125" customWidth="1"/>
    <col min="2055" max="2055" width="13" customWidth="1"/>
    <col min="2056" max="2056" width="11.140625" customWidth="1"/>
    <col min="2057" max="2057" width="7.28515625" customWidth="1"/>
    <col min="2058" max="2058" width="7.5703125" customWidth="1"/>
    <col min="2059" max="2059" width="7.42578125" customWidth="1"/>
    <col min="2060" max="2060" width="7.28515625" customWidth="1"/>
    <col min="2061" max="2274" width="0" hidden="1" customWidth="1"/>
    <col min="2276" max="2276" width="0" hidden="1" customWidth="1"/>
    <col min="2278" max="2278" width="23" customWidth="1"/>
    <col min="2279" max="2279" width="14.28515625" customWidth="1"/>
    <col min="2306" max="2306" width="8.28515625" customWidth="1"/>
    <col min="2307" max="2307" width="38.85546875" customWidth="1"/>
    <col min="2308" max="2308" width="27.28515625" customWidth="1"/>
    <col min="2309" max="2309" width="8.7109375" customWidth="1"/>
    <col min="2310" max="2310" width="8.42578125" customWidth="1"/>
    <col min="2311" max="2311" width="13" customWidth="1"/>
    <col min="2312" max="2312" width="11.140625" customWidth="1"/>
    <col min="2313" max="2313" width="7.28515625" customWidth="1"/>
    <col min="2314" max="2314" width="7.5703125" customWidth="1"/>
    <col min="2315" max="2315" width="7.42578125" customWidth="1"/>
    <col min="2316" max="2316" width="7.28515625" customWidth="1"/>
    <col min="2317" max="2530" width="0" hidden="1" customWidth="1"/>
    <col min="2532" max="2532" width="0" hidden="1" customWidth="1"/>
    <col min="2534" max="2534" width="23" customWidth="1"/>
    <col min="2535" max="2535" width="14.28515625" customWidth="1"/>
    <col min="2562" max="2562" width="8.28515625" customWidth="1"/>
    <col min="2563" max="2563" width="38.85546875" customWidth="1"/>
    <col min="2564" max="2564" width="27.28515625" customWidth="1"/>
    <col min="2565" max="2565" width="8.7109375" customWidth="1"/>
    <col min="2566" max="2566" width="8.42578125" customWidth="1"/>
    <col min="2567" max="2567" width="13" customWidth="1"/>
    <col min="2568" max="2568" width="11.140625" customWidth="1"/>
    <col min="2569" max="2569" width="7.28515625" customWidth="1"/>
    <col min="2570" max="2570" width="7.5703125" customWidth="1"/>
    <col min="2571" max="2571" width="7.42578125" customWidth="1"/>
    <col min="2572" max="2572" width="7.28515625" customWidth="1"/>
    <col min="2573" max="2786" width="0" hidden="1" customWidth="1"/>
    <col min="2788" max="2788" width="0" hidden="1" customWidth="1"/>
    <col min="2790" max="2790" width="23" customWidth="1"/>
    <col min="2791" max="2791" width="14.28515625" customWidth="1"/>
    <col min="2818" max="2818" width="8.28515625" customWidth="1"/>
    <col min="2819" max="2819" width="38.85546875" customWidth="1"/>
    <col min="2820" max="2820" width="27.28515625" customWidth="1"/>
    <col min="2821" max="2821" width="8.7109375" customWidth="1"/>
    <col min="2822" max="2822" width="8.42578125" customWidth="1"/>
    <col min="2823" max="2823" width="13" customWidth="1"/>
    <col min="2824" max="2824" width="11.140625" customWidth="1"/>
    <col min="2825" max="2825" width="7.28515625" customWidth="1"/>
    <col min="2826" max="2826" width="7.5703125" customWidth="1"/>
    <col min="2827" max="2827" width="7.42578125" customWidth="1"/>
    <col min="2828" max="2828" width="7.28515625" customWidth="1"/>
    <col min="2829" max="3042" width="0" hidden="1" customWidth="1"/>
    <col min="3044" max="3044" width="0" hidden="1" customWidth="1"/>
    <col min="3046" max="3046" width="23" customWidth="1"/>
    <col min="3047" max="3047" width="14.28515625" customWidth="1"/>
    <col min="3074" max="3074" width="8.28515625" customWidth="1"/>
    <col min="3075" max="3075" width="38.85546875" customWidth="1"/>
    <col min="3076" max="3076" width="27.28515625" customWidth="1"/>
    <col min="3077" max="3077" width="8.7109375" customWidth="1"/>
    <col min="3078" max="3078" width="8.42578125" customWidth="1"/>
    <col min="3079" max="3079" width="13" customWidth="1"/>
    <col min="3080" max="3080" width="11.140625" customWidth="1"/>
    <col min="3081" max="3081" width="7.28515625" customWidth="1"/>
    <col min="3082" max="3082" width="7.5703125" customWidth="1"/>
    <col min="3083" max="3083" width="7.42578125" customWidth="1"/>
    <col min="3084" max="3084" width="7.28515625" customWidth="1"/>
    <col min="3085" max="3298" width="0" hidden="1" customWidth="1"/>
    <col min="3300" max="3300" width="0" hidden="1" customWidth="1"/>
    <col min="3302" max="3302" width="23" customWidth="1"/>
    <col min="3303" max="3303" width="14.28515625" customWidth="1"/>
    <col min="3330" max="3330" width="8.28515625" customWidth="1"/>
    <col min="3331" max="3331" width="38.85546875" customWidth="1"/>
    <col min="3332" max="3332" width="27.28515625" customWidth="1"/>
    <col min="3333" max="3333" width="8.7109375" customWidth="1"/>
    <col min="3334" max="3334" width="8.42578125" customWidth="1"/>
    <col min="3335" max="3335" width="13" customWidth="1"/>
    <col min="3336" max="3336" width="11.140625" customWidth="1"/>
    <col min="3337" max="3337" width="7.28515625" customWidth="1"/>
    <col min="3338" max="3338" width="7.5703125" customWidth="1"/>
    <col min="3339" max="3339" width="7.42578125" customWidth="1"/>
    <col min="3340" max="3340" width="7.28515625" customWidth="1"/>
    <col min="3341" max="3554" width="0" hidden="1" customWidth="1"/>
    <col min="3556" max="3556" width="0" hidden="1" customWidth="1"/>
    <col min="3558" max="3558" width="23" customWidth="1"/>
    <col min="3559" max="3559" width="14.28515625" customWidth="1"/>
    <col min="3586" max="3586" width="8.28515625" customWidth="1"/>
    <col min="3587" max="3587" width="38.85546875" customWidth="1"/>
    <col min="3588" max="3588" width="27.28515625" customWidth="1"/>
    <col min="3589" max="3589" width="8.7109375" customWidth="1"/>
    <col min="3590" max="3590" width="8.42578125" customWidth="1"/>
    <col min="3591" max="3591" width="13" customWidth="1"/>
    <col min="3592" max="3592" width="11.140625" customWidth="1"/>
    <col min="3593" max="3593" width="7.28515625" customWidth="1"/>
    <col min="3594" max="3594" width="7.5703125" customWidth="1"/>
    <col min="3595" max="3595" width="7.42578125" customWidth="1"/>
    <col min="3596" max="3596" width="7.28515625" customWidth="1"/>
    <col min="3597" max="3810" width="0" hidden="1" customWidth="1"/>
    <col min="3812" max="3812" width="0" hidden="1" customWidth="1"/>
    <col min="3814" max="3814" width="23" customWidth="1"/>
    <col min="3815" max="3815" width="14.28515625" customWidth="1"/>
    <col min="3842" max="3842" width="8.28515625" customWidth="1"/>
    <col min="3843" max="3843" width="38.85546875" customWidth="1"/>
    <col min="3844" max="3844" width="27.28515625" customWidth="1"/>
    <col min="3845" max="3845" width="8.7109375" customWidth="1"/>
    <col min="3846" max="3846" width="8.42578125" customWidth="1"/>
    <col min="3847" max="3847" width="13" customWidth="1"/>
    <col min="3848" max="3848" width="11.140625" customWidth="1"/>
    <col min="3849" max="3849" width="7.28515625" customWidth="1"/>
    <col min="3850" max="3850" width="7.5703125" customWidth="1"/>
    <col min="3851" max="3851" width="7.42578125" customWidth="1"/>
    <col min="3852" max="3852" width="7.28515625" customWidth="1"/>
    <col min="3853" max="4066" width="0" hidden="1" customWidth="1"/>
    <col min="4068" max="4068" width="0" hidden="1" customWidth="1"/>
    <col min="4070" max="4070" width="23" customWidth="1"/>
    <col min="4071" max="4071" width="14.28515625" customWidth="1"/>
    <col min="4098" max="4098" width="8.28515625" customWidth="1"/>
    <col min="4099" max="4099" width="38.85546875" customWidth="1"/>
    <col min="4100" max="4100" width="27.28515625" customWidth="1"/>
    <col min="4101" max="4101" width="8.7109375" customWidth="1"/>
    <col min="4102" max="4102" width="8.42578125" customWidth="1"/>
    <col min="4103" max="4103" width="13" customWidth="1"/>
    <col min="4104" max="4104" width="11.140625" customWidth="1"/>
    <col min="4105" max="4105" width="7.28515625" customWidth="1"/>
    <col min="4106" max="4106" width="7.5703125" customWidth="1"/>
    <col min="4107" max="4107" width="7.42578125" customWidth="1"/>
    <col min="4108" max="4108" width="7.28515625" customWidth="1"/>
    <col min="4109" max="4322" width="0" hidden="1" customWidth="1"/>
    <col min="4324" max="4324" width="0" hidden="1" customWidth="1"/>
    <col min="4326" max="4326" width="23" customWidth="1"/>
    <col min="4327" max="4327" width="14.28515625" customWidth="1"/>
    <col min="4354" max="4354" width="8.28515625" customWidth="1"/>
    <col min="4355" max="4355" width="38.85546875" customWidth="1"/>
    <col min="4356" max="4356" width="27.28515625" customWidth="1"/>
    <col min="4357" max="4357" width="8.7109375" customWidth="1"/>
    <col min="4358" max="4358" width="8.42578125" customWidth="1"/>
    <col min="4359" max="4359" width="13" customWidth="1"/>
    <col min="4360" max="4360" width="11.140625" customWidth="1"/>
    <col min="4361" max="4361" width="7.28515625" customWidth="1"/>
    <col min="4362" max="4362" width="7.5703125" customWidth="1"/>
    <col min="4363" max="4363" width="7.42578125" customWidth="1"/>
    <col min="4364" max="4364" width="7.28515625" customWidth="1"/>
    <col min="4365" max="4578" width="0" hidden="1" customWidth="1"/>
    <col min="4580" max="4580" width="0" hidden="1" customWidth="1"/>
    <col min="4582" max="4582" width="23" customWidth="1"/>
    <col min="4583" max="4583" width="14.28515625" customWidth="1"/>
    <col min="4610" max="4610" width="8.28515625" customWidth="1"/>
    <col min="4611" max="4611" width="38.85546875" customWidth="1"/>
    <col min="4612" max="4612" width="27.28515625" customWidth="1"/>
    <col min="4613" max="4613" width="8.7109375" customWidth="1"/>
    <col min="4614" max="4614" width="8.42578125" customWidth="1"/>
    <col min="4615" max="4615" width="13" customWidth="1"/>
    <col min="4616" max="4616" width="11.140625" customWidth="1"/>
    <col min="4617" max="4617" width="7.28515625" customWidth="1"/>
    <col min="4618" max="4618" width="7.5703125" customWidth="1"/>
    <col min="4619" max="4619" width="7.42578125" customWidth="1"/>
    <col min="4620" max="4620" width="7.28515625" customWidth="1"/>
    <col min="4621" max="4834" width="0" hidden="1" customWidth="1"/>
    <col min="4836" max="4836" width="0" hidden="1" customWidth="1"/>
    <col min="4838" max="4838" width="23" customWidth="1"/>
    <col min="4839" max="4839" width="14.28515625" customWidth="1"/>
    <col min="4866" max="4866" width="8.28515625" customWidth="1"/>
    <col min="4867" max="4867" width="38.85546875" customWidth="1"/>
    <col min="4868" max="4868" width="27.28515625" customWidth="1"/>
    <col min="4869" max="4869" width="8.7109375" customWidth="1"/>
    <col min="4870" max="4870" width="8.42578125" customWidth="1"/>
    <col min="4871" max="4871" width="13" customWidth="1"/>
    <col min="4872" max="4872" width="11.140625" customWidth="1"/>
    <col min="4873" max="4873" width="7.28515625" customWidth="1"/>
    <col min="4874" max="4874" width="7.5703125" customWidth="1"/>
    <col min="4875" max="4875" width="7.42578125" customWidth="1"/>
    <col min="4876" max="4876" width="7.28515625" customWidth="1"/>
    <col min="4877" max="5090" width="0" hidden="1" customWidth="1"/>
    <col min="5092" max="5092" width="0" hidden="1" customWidth="1"/>
    <col min="5094" max="5094" width="23" customWidth="1"/>
    <col min="5095" max="5095" width="14.28515625" customWidth="1"/>
    <col min="5122" max="5122" width="8.28515625" customWidth="1"/>
    <col min="5123" max="5123" width="38.85546875" customWidth="1"/>
    <col min="5124" max="5124" width="27.28515625" customWidth="1"/>
    <col min="5125" max="5125" width="8.7109375" customWidth="1"/>
    <col min="5126" max="5126" width="8.42578125" customWidth="1"/>
    <col min="5127" max="5127" width="13" customWidth="1"/>
    <col min="5128" max="5128" width="11.140625" customWidth="1"/>
    <col min="5129" max="5129" width="7.28515625" customWidth="1"/>
    <col min="5130" max="5130" width="7.5703125" customWidth="1"/>
    <col min="5131" max="5131" width="7.42578125" customWidth="1"/>
    <col min="5132" max="5132" width="7.28515625" customWidth="1"/>
    <col min="5133" max="5346" width="0" hidden="1" customWidth="1"/>
    <col min="5348" max="5348" width="0" hidden="1" customWidth="1"/>
    <col min="5350" max="5350" width="23" customWidth="1"/>
    <col min="5351" max="5351" width="14.28515625" customWidth="1"/>
    <col min="5378" max="5378" width="8.28515625" customWidth="1"/>
    <col min="5379" max="5379" width="38.85546875" customWidth="1"/>
    <col min="5380" max="5380" width="27.28515625" customWidth="1"/>
    <col min="5381" max="5381" width="8.7109375" customWidth="1"/>
    <col min="5382" max="5382" width="8.42578125" customWidth="1"/>
    <col min="5383" max="5383" width="13" customWidth="1"/>
    <col min="5384" max="5384" width="11.140625" customWidth="1"/>
    <col min="5385" max="5385" width="7.28515625" customWidth="1"/>
    <col min="5386" max="5386" width="7.5703125" customWidth="1"/>
    <col min="5387" max="5387" width="7.42578125" customWidth="1"/>
    <col min="5388" max="5388" width="7.28515625" customWidth="1"/>
    <col min="5389" max="5602" width="0" hidden="1" customWidth="1"/>
    <col min="5604" max="5604" width="0" hidden="1" customWidth="1"/>
    <col min="5606" max="5606" width="23" customWidth="1"/>
    <col min="5607" max="5607" width="14.28515625" customWidth="1"/>
    <col min="5634" max="5634" width="8.28515625" customWidth="1"/>
    <col min="5635" max="5635" width="38.85546875" customWidth="1"/>
    <col min="5636" max="5636" width="27.28515625" customWidth="1"/>
    <col min="5637" max="5637" width="8.7109375" customWidth="1"/>
    <col min="5638" max="5638" width="8.42578125" customWidth="1"/>
    <col min="5639" max="5639" width="13" customWidth="1"/>
    <col min="5640" max="5640" width="11.140625" customWidth="1"/>
    <col min="5641" max="5641" width="7.28515625" customWidth="1"/>
    <col min="5642" max="5642" width="7.5703125" customWidth="1"/>
    <col min="5643" max="5643" width="7.42578125" customWidth="1"/>
    <col min="5644" max="5644" width="7.28515625" customWidth="1"/>
    <col min="5645" max="5858" width="0" hidden="1" customWidth="1"/>
    <col min="5860" max="5860" width="0" hidden="1" customWidth="1"/>
    <col min="5862" max="5862" width="23" customWidth="1"/>
    <col min="5863" max="5863" width="14.28515625" customWidth="1"/>
    <col min="5890" max="5890" width="8.28515625" customWidth="1"/>
    <col min="5891" max="5891" width="38.85546875" customWidth="1"/>
    <col min="5892" max="5892" width="27.28515625" customWidth="1"/>
    <col min="5893" max="5893" width="8.7109375" customWidth="1"/>
    <col min="5894" max="5894" width="8.42578125" customWidth="1"/>
    <col min="5895" max="5895" width="13" customWidth="1"/>
    <col min="5896" max="5896" width="11.140625" customWidth="1"/>
    <col min="5897" max="5897" width="7.28515625" customWidth="1"/>
    <col min="5898" max="5898" width="7.5703125" customWidth="1"/>
    <col min="5899" max="5899" width="7.42578125" customWidth="1"/>
    <col min="5900" max="5900" width="7.28515625" customWidth="1"/>
    <col min="5901" max="6114" width="0" hidden="1" customWidth="1"/>
    <col min="6116" max="6116" width="0" hidden="1" customWidth="1"/>
    <col min="6118" max="6118" width="23" customWidth="1"/>
    <col min="6119" max="6119" width="14.28515625" customWidth="1"/>
    <col min="6146" max="6146" width="8.28515625" customWidth="1"/>
    <col min="6147" max="6147" width="38.85546875" customWidth="1"/>
    <col min="6148" max="6148" width="27.28515625" customWidth="1"/>
    <col min="6149" max="6149" width="8.7109375" customWidth="1"/>
    <col min="6150" max="6150" width="8.42578125" customWidth="1"/>
    <col min="6151" max="6151" width="13" customWidth="1"/>
    <col min="6152" max="6152" width="11.140625" customWidth="1"/>
    <col min="6153" max="6153" width="7.28515625" customWidth="1"/>
    <col min="6154" max="6154" width="7.5703125" customWidth="1"/>
    <col min="6155" max="6155" width="7.42578125" customWidth="1"/>
    <col min="6156" max="6156" width="7.28515625" customWidth="1"/>
    <col min="6157" max="6370" width="0" hidden="1" customWidth="1"/>
    <col min="6372" max="6372" width="0" hidden="1" customWidth="1"/>
    <col min="6374" max="6374" width="23" customWidth="1"/>
    <col min="6375" max="6375" width="14.28515625" customWidth="1"/>
    <col min="6402" max="6402" width="8.28515625" customWidth="1"/>
    <col min="6403" max="6403" width="38.85546875" customWidth="1"/>
    <col min="6404" max="6404" width="27.28515625" customWidth="1"/>
    <col min="6405" max="6405" width="8.7109375" customWidth="1"/>
    <col min="6406" max="6406" width="8.42578125" customWidth="1"/>
    <col min="6407" max="6407" width="13" customWidth="1"/>
    <col min="6408" max="6408" width="11.140625" customWidth="1"/>
    <col min="6409" max="6409" width="7.28515625" customWidth="1"/>
    <col min="6410" max="6410" width="7.5703125" customWidth="1"/>
    <col min="6411" max="6411" width="7.42578125" customWidth="1"/>
    <col min="6412" max="6412" width="7.28515625" customWidth="1"/>
    <col min="6413" max="6626" width="0" hidden="1" customWidth="1"/>
    <col min="6628" max="6628" width="0" hidden="1" customWidth="1"/>
    <col min="6630" max="6630" width="23" customWidth="1"/>
    <col min="6631" max="6631" width="14.28515625" customWidth="1"/>
    <col min="6658" max="6658" width="8.28515625" customWidth="1"/>
    <col min="6659" max="6659" width="38.85546875" customWidth="1"/>
    <col min="6660" max="6660" width="27.28515625" customWidth="1"/>
    <col min="6661" max="6661" width="8.7109375" customWidth="1"/>
    <col min="6662" max="6662" width="8.42578125" customWidth="1"/>
    <col min="6663" max="6663" width="13" customWidth="1"/>
    <col min="6664" max="6664" width="11.140625" customWidth="1"/>
    <col min="6665" max="6665" width="7.28515625" customWidth="1"/>
    <col min="6666" max="6666" width="7.5703125" customWidth="1"/>
    <col min="6667" max="6667" width="7.42578125" customWidth="1"/>
    <col min="6668" max="6668" width="7.28515625" customWidth="1"/>
    <col min="6669" max="6882" width="0" hidden="1" customWidth="1"/>
    <col min="6884" max="6884" width="0" hidden="1" customWidth="1"/>
    <col min="6886" max="6886" width="23" customWidth="1"/>
    <col min="6887" max="6887" width="14.28515625" customWidth="1"/>
    <col min="6914" max="6914" width="8.28515625" customWidth="1"/>
    <col min="6915" max="6915" width="38.85546875" customWidth="1"/>
    <col min="6916" max="6916" width="27.28515625" customWidth="1"/>
    <col min="6917" max="6917" width="8.7109375" customWidth="1"/>
    <col min="6918" max="6918" width="8.42578125" customWidth="1"/>
    <col min="6919" max="6919" width="13" customWidth="1"/>
    <col min="6920" max="6920" width="11.140625" customWidth="1"/>
    <col min="6921" max="6921" width="7.28515625" customWidth="1"/>
    <col min="6922" max="6922" width="7.5703125" customWidth="1"/>
    <col min="6923" max="6923" width="7.42578125" customWidth="1"/>
    <col min="6924" max="6924" width="7.28515625" customWidth="1"/>
    <col min="6925" max="7138" width="0" hidden="1" customWidth="1"/>
    <col min="7140" max="7140" width="0" hidden="1" customWidth="1"/>
    <col min="7142" max="7142" width="23" customWidth="1"/>
    <col min="7143" max="7143" width="14.28515625" customWidth="1"/>
    <col min="7170" max="7170" width="8.28515625" customWidth="1"/>
    <col min="7171" max="7171" width="38.85546875" customWidth="1"/>
    <col min="7172" max="7172" width="27.28515625" customWidth="1"/>
    <col min="7173" max="7173" width="8.7109375" customWidth="1"/>
    <col min="7174" max="7174" width="8.42578125" customWidth="1"/>
    <col min="7175" max="7175" width="13" customWidth="1"/>
    <col min="7176" max="7176" width="11.140625" customWidth="1"/>
    <col min="7177" max="7177" width="7.28515625" customWidth="1"/>
    <col min="7178" max="7178" width="7.5703125" customWidth="1"/>
    <col min="7179" max="7179" width="7.42578125" customWidth="1"/>
    <col min="7180" max="7180" width="7.28515625" customWidth="1"/>
    <col min="7181" max="7394" width="0" hidden="1" customWidth="1"/>
    <col min="7396" max="7396" width="0" hidden="1" customWidth="1"/>
    <col min="7398" max="7398" width="23" customWidth="1"/>
    <col min="7399" max="7399" width="14.28515625" customWidth="1"/>
    <col min="7426" max="7426" width="8.28515625" customWidth="1"/>
    <col min="7427" max="7427" width="38.85546875" customWidth="1"/>
    <col min="7428" max="7428" width="27.28515625" customWidth="1"/>
    <col min="7429" max="7429" width="8.7109375" customWidth="1"/>
    <col min="7430" max="7430" width="8.42578125" customWidth="1"/>
    <col min="7431" max="7431" width="13" customWidth="1"/>
    <col min="7432" max="7432" width="11.140625" customWidth="1"/>
    <col min="7433" max="7433" width="7.28515625" customWidth="1"/>
    <col min="7434" max="7434" width="7.5703125" customWidth="1"/>
    <col min="7435" max="7435" width="7.42578125" customWidth="1"/>
    <col min="7436" max="7436" width="7.28515625" customWidth="1"/>
    <col min="7437" max="7650" width="0" hidden="1" customWidth="1"/>
    <col min="7652" max="7652" width="0" hidden="1" customWidth="1"/>
    <col min="7654" max="7654" width="23" customWidth="1"/>
    <col min="7655" max="7655" width="14.28515625" customWidth="1"/>
    <col min="7682" max="7682" width="8.28515625" customWidth="1"/>
    <col min="7683" max="7683" width="38.85546875" customWidth="1"/>
    <col min="7684" max="7684" width="27.28515625" customWidth="1"/>
    <col min="7685" max="7685" width="8.7109375" customWidth="1"/>
    <col min="7686" max="7686" width="8.42578125" customWidth="1"/>
    <col min="7687" max="7687" width="13" customWidth="1"/>
    <col min="7688" max="7688" width="11.140625" customWidth="1"/>
    <col min="7689" max="7689" width="7.28515625" customWidth="1"/>
    <col min="7690" max="7690" width="7.5703125" customWidth="1"/>
    <col min="7691" max="7691" width="7.42578125" customWidth="1"/>
    <col min="7692" max="7692" width="7.28515625" customWidth="1"/>
    <col min="7693" max="7906" width="0" hidden="1" customWidth="1"/>
    <col min="7908" max="7908" width="0" hidden="1" customWidth="1"/>
    <col min="7910" max="7910" width="23" customWidth="1"/>
    <col min="7911" max="7911" width="14.28515625" customWidth="1"/>
    <col min="7938" max="7938" width="8.28515625" customWidth="1"/>
    <col min="7939" max="7939" width="38.85546875" customWidth="1"/>
    <col min="7940" max="7940" width="27.28515625" customWidth="1"/>
    <col min="7941" max="7941" width="8.7109375" customWidth="1"/>
    <col min="7942" max="7942" width="8.42578125" customWidth="1"/>
    <col min="7943" max="7943" width="13" customWidth="1"/>
    <col min="7944" max="7944" width="11.140625" customWidth="1"/>
    <col min="7945" max="7945" width="7.28515625" customWidth="1"/>
    <col min="7946" max="7946" width="7.5703125" customWidth="1"/>
    <col min="7947" max="7947" width="7.42578125" customWidth="1"/>
    <col min="7948" max="7948" width="7.28515625" customWidth="1"/>
    <col min="7949" max="8162" width="0" hidden="1" customWidth="1"/>
    <col min="8164" max="8164" width="0" hidden="1" customWidth="1"/>
    <col min="8166" max="8166" width="23" customWidth="1"/>
    <col min="8167" max="8167" width="14.28515625" customWidth="1"/>
    <col min="8194" max="8194" width="8.28515625" customWidth="1"/>
    <col min="8195" max="8195" width="38.85546875" customWidth="1"/>
    <col min="8196" max="8196" width="27.28515625" customWidth="1"/>
    <col min="8197" max="8197" width="8.7109375" customWidth="1"/>
    <col min="8198" max="8198" width="8.42578125" customWidth="1"/>
    <col min="8199" max="8199" width="13" customWidth="1"/>
    <col min="8200" max="8200" width="11.140625" customWidth="1"/>
    <col min="8201" max="8201" width="7.28515625" customWidth="1"/>
    <col min="8202" max="8202" width="7.5703125" customWidth="1"/>
    <col min="8203" max="8203" width="7.42578125" customWidth="1"/>
    <col min="8204" max="8204" width="7.28515625" customWidth="1"/>
    <col min="8205" max="8418" width="0" hidden="1" customWidth="1"/>
    <col min="8420" max="8420" width="0" hidden="1" customWidth="1"/>
    <col min="8422" max="8422" width="23" customWidth="1"/>
    <col min="8423" max="8423" width="14.28515625" customWidth="1"/>
    <col min="8450" max="8450" width="8.28515625" customWidth="1"/>
    <col min="8451" max="8451" width="38.85546875" customWidth="1"/>
    <col min="8452" max="8452" width="27.28515625" customWidth="1"/>
    <col min="8453" max="8453" width="8.7109375" customWidth="1"/>
    <col min="8454" max="8454" width="8.42578125" customWidth="1"/>
    <col min="8455" max="8455" width="13" customWidth="1"/>
    <col min="8456" max="8456" width="11.140625" customWidth="1"/>
    <col min="8457" max="8457" width="7.28515625" customWidth="1"/>
    <col min="8458" max="8458" width="7.5703125" customWidth="1"/>
    <col min="8459" max="8459" width="7.42578125" customWidth="1"/>
    <col min="8460" max="8460" width="7.28515625" customWidth="1"/>
    <col min="8461" max="8674" width="0" hidden="1" customWidth="1"/>
    <col min="8676" max="8676" width="0" hidden="1" customWidth="1"/>
    <col min="8678" max="8678" width="23" customWidth="1"/>
    <col min="8679" max="8679" width="14.28515625" customWidth="1"/>
    <col min="8706" max="8706" width="8.28515625" customWidth="1"/>
    <col min="8707" max="8707" width="38.85546875" customWidth="1"/>
    <col min="8708" max="8708" width="27.28515625" customWidth="1"/>
    <col min="8709" max="8709" width="8.7109375" customWidth="1"/>
    <col min="8710" max="8710" width="8.42578125" customWidth="1"/>
    <col min="8711" max="8711" width="13" customWidth="1"/>
    <col min="8712" max="8712" width="11.140625" customWidth="1"/>
    <col min="8713" max="8713" width="7.28515625" customWidth="1"/>
    <col min="8714" max="8714" width="7.5703125" customWidth="1"/>
    <col min="8715" max="8715" width="7.42578125" customWidth="1"/>
    <col min="8716" max="8716" width="7.28515625" customWidth="1"/>
    <col min="8717" max="8930" width="0" hidden="1" customWidth="1"/>
    <col min="8932" max="8932" width="0" hidden="1" customWidth="1"/>
    <col min="8934" max="8934" width="23" customWidth="1"/>
    <col min="8935" max="8935" width="14.28515625" customWidth="1"/>
    <col min="8962" max="8962" width="8.28515625" customWidth="1"/>
    <col min="8963" max="8963" width="38.85546875" customWidth="1"/>
    <col min="8964" max="8964" width="27.28515625" customWidth="1"/>
    <col min="8965" max="8965" width="8.7109375" customWidth="1"/>
    <col min="8966" max="8966" width="8.42578125" customWidth="1"/>
    <col min="8967" max="8967" width="13" customWidth="1"/>
    <col min="8968" max="8968" width="11.140625" customWidth="1"/>
    <col min="8969" max="8969" width="7.28515625" customWidth="1"/>
    <col min="8970" max="8970" width="7.5703125" customWidth="1"/>
    <col min="8971" max="8971" width="7.42578125" customWidth="1"/>
    <col min="8972" max="8972" width="7.28515625" customWidth="1"/>
    <col min="8973" max="9186" width="0" hidden="1" customWidth="1"/>
    <col min="9188" max="9188" width="0" hidden="1" customWidth="1"/>
    <col min="9190" max="9190" width="23" customWidth="1"/>
    <col min="9191" max="9191" width="14.28515625" customWidth="1"/>
    <col min="9218" max="9218" width="8.28515625" customWidth="1"/>
    <col min="9219" max="9219" width="38.85546875" customWidth="1"/>
    <col min="9220" max="9220" width="27.28515625" customWidth="1"/>
    <col min="9221" max="9221" width="8.7109375" customWidth="1"/>
    <col min="9222" max="9222" width="8.42578125" customWidth="1"/>
    <col min="9223" max="9223" width="13" customWidth="1"/>
    <col min="9224" max="9224" width="11.140625" customWidth="1"/>
    <col min="9225" max="9225" width="7.28515625" customWidth="1"/>
    <col min="9226" max="9226" width="7.5703125" customWidth="1"/>
    <col min="9227" max="9227" width="7.42578125" customWidth="1"/>
    <col min="9228" max="9228" width="7.28515625" customWidth="1"/>
    <col min="9229" max="9442" width="0" hidden="1" customWidth="1"/>
    <col min="9444" max="9444" width="0" hidden="1" customWidth="1"/>
    <col min="9446" max="9446" width="23" customWidth="1"/>
    <col min="9447" max="9447" width="14.28515625" customWidth="1"/>
    <col min="9474" max="9474" width="8.28515625" customWidth="1"/>
    <col min="9475" max="9475" width="38.85546875" customWidth="1"/>
    <col min="9476" max="9476" width="27.28515625" customWidth="1"/>
    <col min="9477" max="9477" width="8.7109375" customWidth="1"/>
    <col min="9478" max="9478" width="8.42578125" customWidth="1"/>
    <col min="9479" max="9479" width="13" customWidth="1"/>
    <col min="9480" max="9480" width="11.140625" customWidth="1"/>
    <col min="9481" max="9481" width="7.28515625" customWidth="1"/>
    <col min="9482" max="9482" width="7.5703125" customWidth="1"/>
    <col min="9483" max="9483" width="7.42578125" customWidth="1"/>
    <col min="9484" max="9484" width="7.28515625" customWidth="1"/>
    <col min="9485" max="9698" width="0" hidden="1" customWidth="1"/>
    <col min="9700" max="9700" width="0" hidden="1" customWidth="1"/>
    <col min="9702" max="9702" width="23" customWidth="1"/>
    <col min="9703" max="9703" width="14.28515625" customWidth="1"/>
    <col min="9730" max="9730" width="8.28515625" customWidth="1"/>
    <col min="9731" max="9731" width="38.85546875" customWidth="1"/>
    <col min="9732" max="9732" width="27.28515625" customWidth="1"/>
    <col min="9733" max="9733" width="8.7109375" customWidth="1"/>
    <col min="9734" max="9734" width="8.42578125" customWidth="1"/>
    <col min="9735" max="9735" width="13" customWidth="1"/>
    <col min="9736" max="9736" width="11.140625" customWidth="1"/>
    <col min="9737" max="9737" width="7.28515625" customWidth="1"/>
    <col min="9738" max="9738" width="7.5703125" customWidth="1"/>
    <col min="9739" max="9739" width="7.42578125" customWidth="1"/>
    <col min="9740" max="9740" width="7.28515625" customWidth="1"/>
    <col min="9741" max="9954" width="0" hidden="1" customWidth="1"/>
    <col min="9956" max="9956" width="0" hidden="1" customWidth="1"/>
    <col min="9958" max="9958" width="23" customWidth="1"/>
    <col min="9959" max="9959" width="14.28515625" customWidth="1"/>
    <col min="9986" max="9986" width="8.28515625" customWidth="1"/>
    <col min="9987" max="9987" width="38.85546875" customWidth="1"/>
    <col min="9988" max="9988" width="27.28515625" customWidth="1"/>
    <col min="9989" max="9989" width="8.7109375" customWidth="1"/>
    <col min="9990" max="9990" width="8.42578125" customWidth="1"/>
    <col min="9991" max="9991" width="13" customWidth="1"/>
    <col min="9992" max="9992" width="11.140625" customWidth="1"/>
    <col min="9993" max="9993" width="7.28515625" customWidth="1"/>
    <col min="9994" max="9994" width="7.5703125" customWidth="1"/>
    <col min="9995" max="9995" width="7.42578125" customWidth="1"/>
    <col min="9996" max="9996" width="7.28515625" customWidth="1"/>
    <col min="9997" max="10210" width="0" hidden="1" customWidth="1"/>
    <col min="10212" max="10212" width="0" hidden="1" customWidth="1"/>
    <col min="10214" max="10214" width="23" customWidth="1"/>
    <col min="10215" max="10215" width="14.28515625" customWidth="1"/>
    <col min="10242" max="10242" width="8.28515625" customWidth="1"/>
    <col min="10243" max="10243" width="38.85546875" customWidth="1"/>
    <col min="10244" max="10244" width="27.28515625" customWidth="1"/>
    <col min="10245" max="10245" width="8.7109375" customWidth="1"/>
    <col min="10246" max="10246" width="8.42578125" customWidth="1"/>
    <col min="10247" max="10247" width="13" customWidth="1"/>
    <col min="10248" max="10248" width="11.140625" customWidth="1"/>
    <col min="10249" max="10249" width="7.28515625" customWidth="1"/>
    <col min="10250" max="10250" width="7.5703125" customWidth="1"/>
    <col min="10251" max="10251" width="7.42578125" customWidth="1"/>
    <col min="10252" max="10252" width="7.28515625" customWidth="1"/>
    <col min="10253" max="10466" width="0" hidden="1" customWidth="1"/>
    <col min="10468" max="10468" width="0" hidden="1" customWidth="1"/>
    <col min="10470" max="10470" width="23" customWidth="1"/>
    <col min="10471" max="10471" width="14.28515625" customWidth="1"/>
    <col min="10498" max="10498" width="8.28515625" customWidth="1"/>
    <col min="10499" max="10499" width="38.85546875" customWidth="1"/>
    <col min="10500" max="10500" width="27.28515625" customWidth="1"/>
    <col min="10501" max="10501" width="8.7109375" customWidth="1"/>
    <col min="10502" max="10502" width="8.42578125" customWidth="1"/>
    <col min="10503" max="10503" width="13" customWidth="1"/>
    <col min="10504" max="10504" width="11.140625" customWidth="1"/>
    <col min="10505" max="10505" width="7.28515625" customWidth="1"/>
    <col min="10506" max="10506" width="7.5703125" customWidth="1"/>
    <col min="10507" max="10507" width="7.42578125" customWidth="1"/>
    <col min="10508" max="10508" width="7.28515625" customWidth="1"/>
    <col min="10509" max="10722" width="0" hidden="1" customWidth="1"/>
    <col min="10724" max="10724" width="0" hidden="1" customWidth="1"/>
    <col min="10726" max="10726" width="23" customWidth="1"/>
    <col min="10727" max="10727" width="14.28515625" customWidth="1"/>
    <col min="10754" max="10754" width="8.28515625" customWidth="1"/>
    <col min="10755" max="10755" width="38.85546875" customWidth="1"/>
    <col min="10756" max="10756" width="27.28515625" customWidth="1"/>
    <col min="10757" max="10757" width="8.7109375" customWidth="1"/>
    <col min="10758" max="10758" width="8.42578125" customWidth="1"/>
    <col min="10759" max="10759" width="13" customWidth="1"/>
    <col min="10760" max="10760" width="11.140625" customWidth="1"/>
    <col min="10761" max="10761" width="7.28515625" customWidth="1"/>
    <col min="10762" max="10762" width="7.5703125" customWidth="1"/>
    <col min="10763" max="10763" width="7.42578125" customWidth="1"/>
    <col min="10764" max="10764" width="7.28515625" customWidth="1"/>
    <col min="10765" max="10978" width="0" hidden="1" customWidth="1"/>
    <col min="10980" max="10980" width="0" hidden="1" customWidth="1"/>
    <col min="10982" max="10982" width="23" customWidth="1"/>
    <col min="10983" max="10983" width="14.28515625" customWidth="1"/>
    <col min="11010" max="11010" width="8.28515625" customWidth="1"/>
    <col min="11011" max="11011" width="38.85546875" customWidth="1"/>
    <col min="11012" max="11012" width="27.28515625" customWidth="1"/>
    <col min="11013" max="11013" width="8.7109375" customWidth="1"/>
    <col min="11014" max="11014" width="8.42578125" customWidth="1"/>
    <col min="11015" max="11015" width="13" customWidth="1"/>
    <col min="11016" max="11016" width="11.140625" customWidth="1"/>
    <col min="11017" max="11017" width="7.28515625" customWidth="1"/>
    <col min="11018" max="11018" width="7.5703125" customWidth="1"/>
    <col min="11019" max="11019" width="7.42578125" customWidth="1"/>
    <col min="11020" max="11020" width="7.28515625" customWidth="1"/>
    <col min="11021" max="11234" width="0" hidden="1" customWidth="1"/>
    <col min="11236" max="11236" width="0" hidden="1" customWidth="1"/>
    <col min="11238" max="11238" width="23" customWidth="1"/>
    <col min="11239" max="11239" width="14.28515625" customWidth="1"/>
    <col min="11266" max="11266" width="8.28515625" customWidth="1"/>
    <col min="11267" max="11267" width="38.85546875" customWidth="1"/>
    <col min="11268" max="11268" width="27.28515625" customWidth="1"/>
    <col min="11269" max="11269" width="8.7109375" customWidth="1"/>
    <col min="11270" max="11270" width="8.42578125" customWidth="1"/>
    <col min="11271" max="11271" width="13" customWidth="1"/>
    <col min="11272" max="11272" width="11.140625" customWidth="1"/>
    <col min="11273" max="11273" width="7.28515625" customWidth="1"/>
    <col min="11274" max="11274" width="7.5703125" customWidth="1"/>
    <col min="11275" max="11275" width="7.42578125" customWidth="1"/>
    <col min="11276" max="11276" width="7.28515625" customWidth="1"/>
    <col min="11277" max="11490" width="0" hidden="1" customWidth="1"/>
    <col min="11492" max="11492" width="0" hidden="1" customWidth="1"/>
    <col min="11494" max="11494" width="23" customWidth="1"/>
    <col min="11495" max="11495" width="14.28515625" customWidth="1"/>
    <col min="11522" max="11522" width="8.28515625" customWidth="1"/>
    <col min="11523" max="11523" width="38.85546875" customWidth="1"/>
    <col min="11524" max="11524" width="27.28515625" customWidth="1"/>
    <col min="11525" max="11525" width="8.7109375" customWidth="1"/>
    <col min="11526" max="11526" width="8.42578125" customWidth="1"/>
    <col min="11527" max="11527" width="13" customWidth="1"/>
    <col min="11528" max="11528" width="11.140625" customWidth="1"/>
    <col min="11529" max="11529" width="7.28515625" customWidth="1"/>
    <col min="11530" max="11530" width="7.5703125" customWidth="1"/>
    <col min="11531" max="11531" width="7.42578125" customWidth="1"/>
    <col min="11532" max="11532" width="7.28515625" customWidth="1"/>
    <col min="11533" max="11746" width="0" hidden="1" customWidth="1"/>
    <col min="11748" max="11748" width="0" hidden="1" customWidth="1"/>
    <col min="11750" max="11750" width="23" customWidth="1"/>
    <col min="11751" max="11751" width="14.28515625" customWidth="1"/>
    <col min="11778" max="11778" width="8.28515625" customWidth="1"/>
    <col min="11779" max="11779" width="38.85546875" customWidth="1"/>
    <col min="11780" max="11780" width="27.28515625" customWidth="1"/>
    <col min="11781" max="11781" width="8.7109375" customWidth="1"/>
    <col min="11782" max="11782" width="8.42578125" customWidth="1"/>
    <col min="11783" max="11783" width="13" customWidth="1"/>
    <col min="11784" max="11784" width="11.140625" customWidth="1"/>
    <col min="11785" max="11785" width="7.28515625" customWidth="1"/>
    <col min="11786" max="11786" width="7.5703125" customWidth="1"/>
    <col min="11787" max="11787" width="7.42578125" customWidth="1"/>
    <col min="11788" max="11788" width="7.28515625" customWidth="1"/>
    <col min="11789" max="12002" width="0" hidden="1" customWidth="1"/>
    <col min="12004" max="12004" width="0" hidden="1" customWidth="1"/>
    <col min="12006" max="12006" width="23" customWidth="1"/>
    <col min="12007" max="12007" width="14.28515625" customWidth="1"/>
    <col min="12034" max="12034" width="8.28515625" customWidth="1"/>
    <col min="12035" max="12035" width="38.85546875" customWidth="1"/>
    <col min="12036" max="12036" width="27.28515625" customWidth="1"/>
    <col min="12037" max="12037" width="8.7109375" customWidth="1"/>
    <col min="12038" max="12038" width="8.42578125" customWidth="1"/>
    <col min="12039" max="12039" width="13" customWidth="1"/>
    <col min="12040" max="12040" width="11.140625" customWidth="1"/>
    <col min="12041" max="12041" width="7.28515625" customWidth="1"/>
    <col min="12042" max="12042" width="7.5703125" customWidth="1"/>
    <col min="12043" max="12043" width="7.42578125" customWidth="1"/>
    <col min="12044" max="12044" width="7.28515625" customWidth="1"/>
    <col min="12045" max="12258" width="0" hidden="1" customWidth="1"/>
    <col min="12260" max="12260" width="0" hidden="1" customWidth="1"/>
    <col min="12262" max="12262" width="23" customWidth="1"/>
    <col min="12263" max="12263" width="14.28515625" customWidth="1"/>
    <col min="12290" max="12290" width="8.28515625" customWidth="1"/>
    <col min="12291" max="12291" width="38.85546875" customWidth="1"/>
    <col min="12292" max="12292" width="27.28515625" customWidth="1"/>
    <col min="12293" max="12293" width="8.7109375" customWidth="1"/>
    <col min="12294" max="12294" width="8.42578125" customWidth="1"/>
    <col min="12295" max="12295" width="13" customWidth="1"/>
    <col min="12296" max="12296" width="11.140625" customWidth="1"/>
    <col min="12297" max="12297" width="7.28515625" customWidth="1"/>
    <col min="12298" max="12298" width="7.5703125" customWidth="1"/>
    <col min="12299" max="12299" width="7.42578125" customWidth="1"/>
    <col min="12300" max="12300" width="7.28515625" customWidth="1"/>
    <col min="12301" max="12514" width="0" hidden="1" customWidth="1"/>
    <col min="12516" max="12516" width="0" hidden="1" customWidth="1"/>
    <col min="12518" max="12518" width="23" customWidth="1"/>
    <col min="12519" max="12519" width="14.28515625" customWidth="1"/>
    <col min="12546" max="12546" width="8.28515625" customWidth="1"/>
    <col min="12547" max="12547" width="38.85546875" customWidth="1"/>
    <col min="12548" max="12548" width="27.28515625" customWidth="1"/>
    <col min="12549" max="12549" width="8.7109375" customWidth="1"/>
    <col min="12550" max="12550" width="8.42578125" customWidth="1"/>
    <col min="12551" max="12551" width="13" customWidth="1"/>
    <col min="12552" max="12552" width="11.140625" customWidth="1"/>
    <col min="12553" max="12553" width="7.28515625" customWidth="1"/>
    <col min="12554" max="12554" width="7.5703125" customWidth="1"/>
    <col min="12555" max="12555" width="7.42578125" customWidth="1"/>
    <col min="12556" max="12556" width="7.28515625" customWidth="1"/>
    <col min="12557" max="12770" width="0" hidden="1" customWidth="1"/>
    <col min="12772" max="12772" width="0" hidden="1" customWidth="1"/>
    <col min="12774" max="12774" width="23" customWidth="1"/>
    <col min="12775" max="12775" width="14.28515625" customWidth="1"/>
    <col min="12802" max="12802" width="8.28515625" customWidth="1"/>
    <col min="12803" max="12803" width="38.85546875" customWidth="1"/>
    <col min="12804" max="12804" width="27.28515625" customWidth="1"/>
    <col min="12805" max="12805" width="8.7109375" customWidth="1"/>
    <col min="12806" max="12806" width="8.42578125" customWidth="1"/>
    <col min="12807" max="12807" width="13" customWidth="1"/>
    <col min="12808" max="12808" width="11.140625" customWidth="1"/>
    <col min="12809" max="12809" width="7.28515625" customWidth="1"/>
    <col min="12810" max="12810" width="7.5703125" customWidth="1"/>
    <col min="12811" max="12811" width="7.42578125" customWidth="1"/>
    <col min="12812" max="12812" width="7.28515625" customWidth="1"/>
    <col min="12813" max="13026" width="0" hidden="1" customWidth="1"/>
    <col min="13028" max="13028" width="0" hidden="1" customWidth="1"/>
    <col min="13030" max="13030" width="23" customWidth="1"/>
    <col min="13031" max="13031" width="14.28515625" customWidth="1"/>
    <col min="13058" max="13058" width="8.28515625" customWidth="1"/>
    <col min="13059" max="13059" width="38.85546875" customWidth="1"/>
    <col min="13060" max="13060" width="27.28515625" customWidth="1"/>
    <col min="13061" max="13061" width="8.7109375" customWidth="1"/>
    <col min="13062" max="13062" width="8.42578125" customWidth="1"/>
    <col min="13063" max="13063" width="13" customWidth="1"/>
    <col min="13064" max="13064" width="11.140625" customWidth="1"/>
    <col min="13065" max="13065" width="7.28515625" customWidth="1"/>
    <col min="13066" max="13066" width="7.5703125" customWidth="1"/>
    <col min="13067" max="13067" width="7.42578125" customWidth="1"/>
    <col min="13068" max="13068" width="7.28515625" customWidth="1"/>
    <col min="13069" max="13282" width="0" hidden="1" customWidth="1"/>
    <col min="13284" max="13284" width="0" hidden="1" customWidth="1"/>
    <col min="13286" max="13286" width="23" customWidth="1"/>
    <col min="13287" max="13287" width="14.28515625" customWidth="1"/>
    <col min="13314" max="13314" width="8.28515625" customWidth="1"/>
    <col min="13315" max="13315" width="38.85546875" customWidth="1"/>
    <col min="13316" max="13316" width="27.28515625" customWidth="1"/>
    <col min="13317" max="13317" width="8.7109375" customWidth="1"/>
    <col min="13318" max="13318" width="8.42578125" customWidth="1"/>
    <col min="13319" max="13319" width="13" customWidth="1"/>
    <col min="13320" max="13320" width="11.140625" customWidth="1"/>
    <col min="13321" max="13321" width="7.28515625" customWidth="1"/>
    <col min="13322" max="13322" width="7.5703125" customWidth="1"/>
    <col min="13323" max="13323" width="7.42578125" customWidth="1"/>
    <col min="13324" max="13324" width="7.28515625" customWidth="1"/>
    <col min="13325" max="13538" width="0" hidden="1" customWidth="1"/>
    <col min="13540" max="13540" width="0" hidden="1" customWidth="1"/>
    <col min="13542" max="13542" width="23" customWidth="1"/>
    <col min="13543" max="13543" width="14.28515625" customWidth="1"/>
    <col min="13570" max="13570" width="8.28515625" customWidth="1"/>
    <col min="13571" max="13571" width="38.85546875" customWidth="1"/>
    <col min="13572" max="13572" width="27.28515625" customWidth="1"/>
    <col min="13573" max="13573" width="8.7109375" customWidth="1"/>
    <col min="13574" max="13574" width="8.42578125" customWidth="1"/>
    <col min="13575" max="13575" width="13" customWidth="1"/>
    <col min="13576" max="13576" width="11.140625" customWidth="1"/>
    <col min="13577" max="13577" width="7.28515625" customWidth="1"/>
    <col min="13578" max="13578" width="7.5703125" customWidth="1"/>
    <col min="13579" max="13579" width="7.42578125" customWidth="1"/>
    <col min="13580" max="13580" width="7.28515625" customWidth="1"/>
    <col min="13581" max="13794" width="0" hidden="1" customWidth="1"/>
    <col min="13796" max="13796" width="0" hidden="1" customWidth="1"/>
    <col min="13798" max="13798" width="23" customWidth="1"/>
    <col min="13799" max="13799" width="14.28515625" customWidth="1"/>
    <col min="13826" max="13826" width="8.28515625" customWidth="1"/>
    <col min="13827" max="13827" width="38.85546875" customWidth="1"/>
    <col min="13828" max="13828" width="27.28515625" customWidth="1"/>
    <col min="13829" max="13829" width="8.7109375" customWidth="1"/>
    <col min="13830" max="13830" width="8.42578125" customWidth="1"/>
    <col min="13831" max="13831" width="13" customWidth="1"/>
    <col min="13832" max="13832" width="11.140625" customWidth="1"/>
    <col min="13833" max="13833" width="7.28515625" customWidth="1"/>
    <col min="13834" max="13834" width="7.5703125" customWidth="1"/>
    <col min="13835" max="13835" width="7.42578125" customWidth="1"/>
    <col min="13836" max="13836" width="7.28515625" customWidth="1"/>
    <col min="13837" max="14050" width="0" hidden="1" customWidth="1"/>
    <col min="14052" max="14052" width="0" hidden="1" customWidth="1"/>
    <col min="14054" max="14054" width="23" customWidth="1"/>
    <col min="14055" max="14055" width="14.28515625" customWidth="1"/>
    <col min="14082" max="14082" width="8.28515625" customWidth="1"/>
    <col min="14083" max="14083" width="38.85546875" customWidth="1"/>
    <col min="14084" max="14084" width="27.28515625" customWidth="1"/>
    <col min="14085" max="14085" width="8.7109375" customWidth="1"/>
    <col min="14086" max="14086" width="8.42578125" customWidth="1"/>
    <col min="14087" max="14087" width="13" customWidth="1"/>
    <col min="14088" max="14088" width="11.140625" customWidth="1"/>
    <col min="14089" max="14089" width="7.28515625" customWidth="1"/>
    <col min="14090" max="14090" width="7.5703125" customWidth="1"/>
    <col min="14091" max="14091" width="7.42578125" customWidth="1"/>
    <col min="14092" max="14092" width="7.28515625" customWidth="1"/>
    <col min="14093" max="14306" width="0" hidden="1" customWidth="1"/>
    <col min="14308" max="14308" width="0" hidden="1" customWidth="1"/>
    <col min="14310" max="14310" width="23" customWidth="1"/>
    <col min="14311" max="14311" width="14.28515625" customWidth="1"/>
    <col min="14338" max="14338" width="8.28515625" customWidth="1"/>
    <col min="14339" max="14339" width="38.85546875" customWidth="1"/>
    <col min="14340" max="14340" width="27.28515625" customWidth="1"/>
    <col min="14341" max="14341" width="8.7109375" customWidth="1"/>
    <col min="14342" max="14342" width="8.42578125" customWidth="1"/>
    <col min="14343" max="14343" width="13" customWidth="1"/>
    <col min="14344" max="14344" width="11.140625" customWidth="1"/>
    <col min="14345" max="14345" width="7.28515625" customWidth="1"/>
    <col min="14346" max="14346" width="7.5703125" customWidth="1"/>
    <col min="14347" max="14347" width="7.42578125" customWidth="1"/>
    <col min="14348" max="14348" width="7.28515625" customWidth="1"/>
    <col min="14349" max="14562" width="0" hidden="1" customWidth="1"/>
    <col min="14564" max="14564" width="0" hidden="1" customWidth="1"/>
    <col min="14566" max="14566" width="23" customWidth="1"/>
    <col min="14567" max="14567" width="14.28515625" customWidth="1"/>
    <col min="14594" max="14594" width="8.28515625" customWidth="1"/>
    <col min="14595" max="14595" width="38.85546875" customWidth="1"/>
    <col min="14596" max="14596" width="27.28515625" customWidth="1"/>
    <col min="14597" max="14597" width="8.7109375" customWidth="1"/>
    <col min="14598" max="14598" width="8.42578125" customWidth="1"/>
    <col min="14599" max="14599" width="13" customWidth="1"/>
    <col min="14600" max="14600" width="11.140625" customWidth="1"/>
    <col min="14601" max="14601" width="7.28515625" customWidth="1"/>
    <col min="14602" max="14602" width="7.5703125" customWidth="1"/>
    <col min="14603" max="14603" width="7.42578125" customWidth="1"/>
    <col min="14604" max="14604" width="7.28515625" customWidth="1"/>
    <col min="14605" max="14818" width="0" hidden="1" customWidth="1"/>
    <col min="14820" max="14820" width="0" hidden="1" customWidth="1"/>
    <col min="14822" max="14822" width="23" customWidth="1"/>
    <col min="14823" max="14823" width="14.28515625" customWidth="1"/>
    <col min="14850" max="14850" width="8.28515625" customWidth="1"/>
    <col min="14851" max="14851" width="38.85546875" customWidth="1"/>
    <col min="14852" max="14852" width="27.28515625" customWidth="1"/>
    <col min="14853" max="14853" width="8.7109375" customWidth="1"/>
    <col min="14854" max="14854" width="8.42578125" customWidth="1"/>
    <col min="14855" max="14855" width="13" customWidth="1"/>
    <col min="14856" max="14856" width="11.140625" customWidth="1"/>
    <col min="14857" max="14857" width="7.28515625" customWidth="1"/>
    <col min="14858" max="14858" width="7.5703125" customWidth="1"/>
    <col min="14859" max="14859" width="7.42578125" customWidth="1"/>
    <col min="14860" max="14860" width="7.28515625" customWidth="1"/>
    <col min="14861" max="15074" width="0" hidden="1" customWidth="1"/>
    <col min="15076" max="15076" width="0" hidden="1" customWidth="1"/>
    <col min="15078" max="15078" width="23" customWidth="1"/>
    <col min="15079" max="15079" width="14.28515625" customWidth="1"/>
    <col min="15106" max="15106" width="8.28515625" customWidth="1"/>
    <col min="15107" max="15107" width="38.85546875" customWidth="1"/>
    <col min="15108" max="15108" width="27.28515625" customWidth="1"/>
    <col min="15109" max="15109" width="8.7109375" customWidth="1"/>
    <col min="15110" max="15110" width="8.42578125" customWidth="1"/>
    <col min="15111" max="15111" width="13" customWidth="1"/>
    <col min="15112" max="15112" width="11.140625" customWidth="1"/>
    <col min="15113" max="15113" width="7.28515625" customWidth="1"/>
    <col min="15114" max="15114" width="7.5703125" customWidth="1"/>
    <col min="15115" max="15115" width="7.42578125" customWidth="1"/>
    <col min="15116" max="15116" width="7.28515625" customWidth="1"/>
    <col min="15117" max="15330" width="0" hidden="1" customWidth="1"/>
    <col min="15332" max="15332" width="0" hidden="1" customWidth="1"/>
    <col min="15334" max="15334" width="23" customWidth="1"/>
    <col min="15335" max="15335" width="14.28515625" customWidth="1"/>
    <col min="15362" max="15362" width="8.28515625" customWidth="1"/>
    <col min="15363" max="15363" width="38.85546875" customWidth="1"/>
    <col min="15364" max="15364" width="27.28515625" customWidth="1"/>
    <col min="15365" max="15365" width="8.7109375" customWidth="1"/>
    <col min="15366" max="15366" width="8.42578125" customWidth="1"/>
    <col min="15367" max="15367" width="13" customWidth="1"/>
    <col min="15368" max="15368" width="11.140625" customWidth="1"/>
    <col min="15369" max="15369" width="7.28515625" customWidth="1"/>
    <col min="15370" max="15370" width="7.5703125" customWidth="1"/>
    <col min="15371" max="15371" width="7.42578125" customWidth="1"/>
    <col min="15372" max="15372" width="7.28515625" customWidth="1"/>
    <col min="15373" max="15586" width="0" hidden="1" customWidth="1"/>
    <col min="15588" max="15588" width="0" hidden="1" customWidth="1"/>
    <col min="15590" max="15590" width="23" customWidth="1"/>
    <col min="15591" max="15591" width="14.28515625" customWidth="1"/>
    <col min="15618" max="15618" width="8.28515625" customWidth="1"/>
    <col min="15619" max="15619" width="38.85546875" customWidth="1"/>
    <col min="15620" max="15620" width="27.28515625" customWidth="1"/>
    <col min="15621" max="15621" width="8.7109375" customWidth="1"/>
    <col min="15622" max="15622" width="8.42578125" customWidth="1"/>
    <col min="15623" max="15623" width="13" customWidth="1"/>
    <col min="15624" max="15624" width="11.140625" customWidth="1"/>
    <col min="15625" max="15625" width="7.28515625" customWidth="1"/>
    <col min="15626" max="15626" width="7.5703125" customWidth="1"/>
    <col min="15627" max="15627" width="7.42578125" customWidth="1"/>
    <col min="15628" max="15628" width="7.28515625" customWidth="1"/>
    <col min="15629" max="15842" width="0" hidden="1" customWidth="1"/>
    <col min="15844" max="15844" width="0" hidden="1" customWidth="1"/>
    <col min="15846" max="15846" width="23" customWidth="1"/>
    <col min="15847" max="15847" width="14.28515625" customWidth="1"/>
    <col min="15874" max="15874" width="8.28515625" customWidth="1"/>
    <col min="15875" max="15875" width="38.85546875" customWidth="1"/>
    <col min="15876" max="15876" width="27.28515625" customWidth="1"/>
    <col min="15877" max="15877" width="8.7109375" customWidth="1"/>
    <col min="15878" max="15878" width="8.42578125" customWidth="1"/>
    <col min="15879" max="15879" width="13" customWidth="1"/>
    <col min="15880" max="15880" width="11.140625" customWidth="1"/>
    <col min="15881" max="15881" width="7.28515625" customWidth="1"/>
    <col min="15882" max="15882" width="7.5703125" customWidth="1"/>
    <col min="15883" max="15883" width="7.42578125" customWidth="1"/>
    <col min="15884" max="15884" width="7.28515625" customWidth="1"/>
    <col min="15885" max="16098" width="0" hidden="1" customWidth="1"/>
    <col min="16100" max="16100" width="0" hidden="1" customWidth="1"/>
    <col min="16102" max="16102" width="23" customWidth="1"/>
    <col min="16103" max="16103" width="14.28515625" customWidth="1"/>
    <col min="16130" max="16130" width="8.28515625" customWidth="1"/>
    <col min="16131" max="16131" width="38.85546875" customWidth="1"/>
    <col min="16132" max="16132" width="27.28515625" customWidth="1"/>
    <col min="16133" max="16133" width="8.7109375" customWidth="1"/>
    <col min="16134" max="16134" width="8.42578125" customWidth="1"/>
    <col min="16135" max="16135" width="13" customWidth="1"/>
    <col min="16136" max="16136" width="11.140625" customWidth="1"/>
    <col min="16137" max="16137" width="7.28515625" customWidth="1"/>
    <col min="16138" max="16138" width="7.5703125" customWidth="1"/>
    <col min="16139" max="16139" width="7.42578125" customWidth="1"/>
    <col min="16140" max="16140" width="7.28515625" customWidth="1"/>
    <col min="16141" max="16354" width="0" hidden="1" customWidth="1"/>
    <col min="16356" max="16356" width="0" hidden="1" customWidth="1"/>
    <col min="16358" max="16358" width="23" customWidth="1"/>
    <col min="16359" max="16359" width="14.28515625" customWidth="1"/>
  </cols>
  <sheetData>
    <row r="1" spans="1:10" ht="15" customHeight="1" x14ac:dyDescent="0.2">
      <c r="F1" s="1252"/>
      <c r="G1" s="1942" t="s">
        <v>817</v>
      </c>
      <c r="H1" s="1942"/>
      <c r="I1" s="1942"/>
      <c r="J1" s="1942"/>
    </row>
    <row r="2" spans="1:10" ht="51" customHeight="1" x14ac:dyDescent="0.2">
      <c r="F2" s="1252"/>
      <c r="G2" s="1942"/>
      <c r="H2" s="1942"/>
      <c r="I2" s="1942"/>
      <c r="J2" s="1942"/>
    </row>
    <row r="3" spans="1:10" ht="36" customHeight="1" x14ac:dyDescent="0.3">
      <c r="A3" s="1943" t="s">
        <v>777</v>
      </c>
      <c r="B3" s="1944"/>
      <c r="C3" s="1944"/>
      <c r="D3" s="1944"/>
      <c r="E3" s="1944"/>
      <c r="F3" s="1944"/>
      <c r="G3" s="1944"/>
      <c r="H3" s="1944"/>
      <c r="I3" s="1944"/>
      <c r="J3" s="1944"/>
    </row>
    <row r="5" spans="1:10" ht="33.75" customHeight="1" x14ac:dyDescent="0.2">
      <c r="A5" s="1945" t="s">
        <v>347</v>
      </c>
      <c r="B5" s="1945" t="s">
        <v>348</v>
      </c>
      <c r="C5" s="1945" t="s">
        <v>349</v>
      </c>
      <c r="D5" s="1947" t="s">
        <v>350</v>
      </c>
      <c r="E5" s="1948"/>
      <c r="F5" s="1945" t="s">
        <v>351</v>
      </c>
      <c r="G5" s="1945" t="s">
        <v>363</v>
      </c>
      <c r="H5" s="1947" t="s">
        <v>352</v>
      </c>
      <c r="I5" s="1949"/>
      <c r="J5" s="1948"/>
    </row>
    <row r="6" spans="1:10" ht="15.75" x14ac:dyDescent="0.2">
      <c r="A6" s="1946"/>
      <c r="B6" s="1946"/>
      <c r="C6" s="1946"/>
      <c r="D6" s="1282" t="s">
        <v>353</v>
      </c>
      <c r="E6" s="1282" t="s">
        <v>354</v>
      </c>
      <c r="F6" s="1946"/>
      <c r="G6" s="1946"/>
      <c r="H6" s="1283">
        <v>2016</v>
      </c>
      <c r="I6" s="1283">
        <v>2017</v>
      </c>
      <c r="J6" s="1283">
        <v>2018</v>
      </c>
    </row>
    <row r="7" spans="1:10" ht="19.5" customHeight="1" x14ac:dyDescent="0.25">
      <c r="A7" s="1936" t="s">
        <v>596</v>
      </c>
      <c r="B7" s="1937"/>
      <c r="C7" s="1937"/>
      <c r="D7" s="1937"/>
      <c r="E7" s="1937"/>
      <c r="F7" s="1937"/>
      <c r="G7" s="1937"/>
      <c r="H7" s="1937"/>
      <c r="I7" s="1937"/>
      <c r="J7" s="1938"/>
    </row>
    <row r="8" spans="1:10" ht="19.5" customHeight="1" x14ac:dyDescent="0.25">
      <c r="A8" s="1284" t="s">
        <v>778</v>
      </c>
      <c r="B8" s="1285"/>
      <c r="C8" s="1285"/>
      <c r="D8" s="1285"/>
      <c r="E8" s="1285"/>
      <c r="F8" s="1285"/>
      <c r="G8" s="1285"/>
      <c r="H8" s="1285"/>
      <c r="I8" s="1285"/>
      <c r="J8" s="1286"/>
    </row>
    <row r="9" spans="1:10" ht="15.75" x14ac:dyDescent="0.25">
      <c r="A9" s="1287" t="s">
        <v>779</v>
      </c>
      <c r="B9" s="1288"/>
      <c r="C9" s="1288"/>
      <c r="D9" s="1288"/>
      <c r="E9" s="1288"/>
      <c r="F9" s="1288"/>
      <c r="G9" s="1288"/>
      <c r="H9" s="1289"/>
      <c r="I9" s="1288"/>
      <c r="J9" s="1290"/>
    </row>
    <row r="10" spans="1:10" ht="31.5" customHeight="1" x14ac:dyDescent="0.2">
      <c r="A10" s="1291" t="s">
        <v>355</v>
      </c>
      <c r="B10" s="1274" t="s">
        <v>661</v>
      </c>
      <c r="C10" s="1882" t="s">
        <v>444</v>
      </c>
      <c r="D10" s="1898">
        <v>2016</v>
      </c>
      <c r="E10" s="1898">
        <v>2018</v>
      </c>
      <c r="F10" s="1891" t="s">
        <v>356</v>
      </c>
      <c r="G10" s="1891" t="s">
        <v>36</v>
      </c>
      <c r="H10" s="1925">
        <v>20850</v>
      </c>
      <c r="I10" s="1891">
        <v>37830</v>
      </c>
      <c r="J10" s="1891">
        <v>26570</v>
      </c>
    </row>
    <row r="11" spans="1:10" ht="33" customHeight="1" x14ac:dyDescent="0.2">
      <c r="A11" s="1291" t="s">
        <v>423</v>
      </c>
      <c r="B11" s="1275" t="s">
        <v>662</v>
      </c>
      <c r="C11" s="1883"/>
      <c r="D11" s="1898"/>
      <c r="E11" s="1898"/>
      <c r="F11" s="1892"/>
      <c r="G11" s="1892"/>
      <c r="H11" s="1926"/>
      <c r="I11" s="1892"/>
      <c r="J11" s="1892"/>
    </row>
    <row r="12" spans="1:10" ht="33" customHeight="1" x14ac:dyDescent="0.2">
      <c r="A12" s="1291" t="s">
        <v>424</v>
      </c>
      <c r="B12" s="1273" t="s">
        <v>663</v>
      </c>
      <c r="C12" s="1884"/>
      <c r="D12" s="1898"/>
      <c r="E12" s="1898"/>
      <c r="F12" s="1893"/>
      <c r="G12" s="1893"/>
      <c r="H12" s="1261">
        <v>26450</v>
      </c>
      <c r="I12" s="1292">
        <v>22200</v>
      </c>
      <c r="J12" s="1292">
        <v>13110</v>
      </c>
    </row>
    <row r="13" spans="1:10" ht="15" customHeight="1" x14ac:dyDescent="0.2">
      <c r="A13" s="1894" t="s">
        <v>485</v>
      </c>
      <c r="B13" s="1895"/>
      <c r="C13" s="1895"/>
      <c r="D13" s="1895"/>
      <c r="E13" s="1895"/>
      <c r="F13" s="1895"/>
      <c r="G13" s="1896"/>
      <c r="H13" s="1293">
        <f>SUM(H10:H12)</f>
        <v>47300</v>
      </c>
      <c r="I13" s="1293">
        <f>SUM(I10:I12)</f>
        <v>60030</v>
      </c>
      <c r="J13" s="1293">
        <f>SUM(J10:J12)</f>
        <v>39680</v>
      </c>
    </row>
    <row r="14" spans="1:10" ht="15.75" x14ac:dyDescent="0.25">
      <c r="A14" s="1294" t="s">
        <v>809</v>
      </c>
      <c r="B14" s="1288"/>
      <c r="C14" s="1288"/>
      <c r="D14" s="1288"/>
      <c r="E14" s="1288"/>
      <c r="F14" s="1288"/>
      <c r="G14" s="1288"/>
      <c r="H14" s="1289"/>
      <c r="I14" s="1288"/>
      <c r="J14" s="1290"/>
    </row>
    <row r="15" spans="1:10" ht="15" customHeight="1" x14ac:dyDescent="0.2">
      <c r="A15" s="1295" t="s">
        <v>393</v>
      </c>
      <c r="B15" s="1273" t="s">
        <v>631</v>
      </c>
      <c r="C15" s="1891" t="s">
        <v>394</v>
      </c>
      <c r="D15" s="1891">
        <v>2016</v>
      </c>
      <c r="E15" s="1891">
        <v>2018</v>
      </c>
      <c r="F15" s="1891" t="s">
        <v>356</v>
      </c>
      <c r="G15" s="1891" t="s">
        <v>36</v>
      </c>
      <c r="H15" s="1939">
        <v>2100</v>
      </c>
      <c r="I15" s="1891">
        <v>0</v>
      </c>
      <c r="J15" s="1891">
        <v>0</v>
      </c>
    </row>
    <row r="16" spans="1:10" ht="18" customHeight="1" x14ac:dyDescent="0.2">
      <c r="A16" s="1296" t="s">
        <v>425</v>
      </c>
      <c r="B16" s="1273" t="s">
        <v>632</v>
      </c>
      <c r="C16" s="1892"/>
      <c r="D16" s="1892"/>
      <c r="E16" s="1892"/>
      <c r="F16" s="1892"/>
      <c r="G16" s="1892"/>
      <c r="H16" s="1940"/>
      <c r="I16" s="1892"/>
      <c r="J16" s="1892"/>
    </row>
    <row r="17" spans="1:10" ht="33" customHeight="1" x14ac:dyDescent="0.2">
      <c r="A17" s="1296" t="s">
        <v>357</v>
      </c>
      <c r="B17" s="1273" t="s">
        <v>609</v>
      </c>
      <c r="C17" s="1892"/>
      <c r="D17" s="1892"/>
      <c r="E17" s="1892"/>
      <c r="F17" s="1892"/>
      <c r="G17" s="1892"/>
      <c r="H17" s="1941"/>
      <c r="I17" s="1893"/>
      <c r="J17" s="1893"/>
    </row>
    <row r="18" spans="1:10" ht="29.25" customHeight="1" x14ac:dyDescent="0.2">
      <c r="A18" s="1296" t="s">
        <v>486</v>
      </c>
      <c r="B18" s="1273" t="s">
        <v>691</v>
      </c>
      <c r="C18" s="1893"/>
      <c r="D18" s="1893"/>
      <c r="E18" s="1893"/>
      <c r="F18" s="1893"/>
      <c r="G18" s="1893"/>
      <c r="H18" s="1297">
        <v>6500</v>
      </c>
      <c r="I18" s="1292">
        <v>0</v>
      </c>
      <c r="J18" s="1292">
        <v>0</v>
      </c>
    </row>
    <row r="19" spans="1:10" ht="15.75" customHeight="1" x14ac:dyDescent="0.2">
      <c r="A19" s="1894" t="s">
        <v>485</v>
      </c>
      <c r="B19" s="1895"/>
      <c r="C19" s="1895"/>
      <c r="D19" s="1895"/>
      <c r="E19" s="1895"/>
      <c r="F19" s="1895"/>
      <c r="G19" s="1896"/>
      <c r="H19" s="1298">
        <f>SUM(H15:H18)</f>
        <v>8600</v>
      </c>
      <c r="I19" s="1298">
        <f>SUM(I15:I18)</f>
        <v>0</v>
      </c>
      <c r="J19" s="1298">
        <f>SUM(J15:J18)</f>
        <v>0</v>
      </c>
    </row>
    <row r="20" spans="1:10" ht="14.25" customHeight="1" x14ac:dyDescent="0.25">
      <c r="A20" s="1299" t="s">
        <v>810</v>
      </c>
      <c r="B20" s="1288"/>
      <c r="C20" s="1288"/>
      <c r="D20" s="1288"/>
      <c r="E20" s="1288"/>
      <c r="F20" s="1288"/>
      <c r="G20" s="1288"/>
      <c r="H20" s="1289"/>
      <c r="I20" s="1288"/>
      <c r="J20" s="1290"/>
    </row>
    <row r="21" spans="1:10" ht="19.5" customHeight="1" x14ac:dyDescent="0.2">
      <c r="A21" s="1300" t="s">
        <v>395</v>
      </c>
      <c r="B21" s="1273" t="s">
        <v>690</v>
      </c>
      <c r="C21" s="1891" t="s">
        <v>396</v>
      </c>
      <c r="D21" s="1891">
        <v>2016</v>
      </c>
      <c r="E21" s="1891">
        <v>2018</v>
      </c>
      <c r="F21" s="1891" t="s">
        <v>356</v>
      </c>
      <c r="G21" s="1891" t="s">
        <v>36</v>
      </c>
      <c r="H21" s="1891">
        <v>0</v>
      </c>
      <c r="I21" s="1891">
        <v>14280</v>
      </c>
      <c r="J21" s="1891">
        <v>5880</v>
      </c>
    </row>
    <row r="22" spans="1:10" ht="14.25" customHeight="1" x14ac:dyDescent="0.2">
      <c r="A22" s="1300" t="s">
        <v>426</v>
      </c>
      <c r="B22" s="1276" t="s">
        <v>692</v>
      </c>
      <c r="C22" s="1892"/>
      <c r="D22" s="1892"/>
      <c r="E22" s="1892"/>
      <c r="F22" s="1892"/>
      <c r="G22" s="1892"/>
      <c r="H22" s="1892"/>
      <c r="I22" s="1892"/>
      <c r="J22" s="1892"/>
    </row>
    <row r="23" spans="1:10" ht="30" customHeight="1" x14ac:dyDescent="0.2">
      <c r="A23" s="1273" t="s">
        <v>483</v>
      </c>
      <c r="B23" s="1273" t="s">
        <v>609</v>
      </c>
      <c r="C23" s="1893"/>
      <c r="D23" s="1893"/>
      <c r="E23" s="1893"/>
      <c r="F23" s="1893"/>
      <c r="G23" s="1893"/>
      <c r="H23" s="1292">
        <v>0</v>
      </c>
      <c r="I23" s="1301">
        <v>32340</v>
      </c>
      <c r="J23" s="1301">
        <v>19840</v>
      </c>
    </row>
    <row r="24" spans="1:10" ht="33" customHeight="1" x14ac:dyDescent="0.2">
      <c r="A24" s="1302" t="s">
        <v>484</v>
      </c>
      <c r="B24" s="1273" t="s">
        <v>693</v>
      </c>
      <c r="C24" s="1292" t="s">
        <v>396</v>
      </c>
      <c r="D24" s="1292">
        <v>2019</v>
      </c>
      <c r="E24" s="1292">
        <v>2021</v>
      </c>
      <c r="F24" s="1303" t="s">
        <v>356</v>
      </c>
      <c r="G24" s="1303" t="s">
        <v>36</v>
      </c>
      <c r="H24" s="1292">
        <v>0</v>
      </c>
      <c r="I24" s="1292">
        <v>0</v>
      </c>
      <c r="J24" s="1292">
        <v>0</v>
      </c>
    </row>
    <row r="25" spans="1:10" ht="18" customHeight="1" x14ac:dyDescent="0.2">
      <c r="A25" s="1894" t="s">
        <v>485</v>
      </c>
      <c r="B25" s="1895"/>
      <c r="C25" s="1895"/>
      <c r="D25" s="1895"/>
      <c r="E25" s="1895"/>
      <c r="F25" s="1895"/>
      <c r="G25" s="1896"/>
      <c r="H25" s="1298">
        <f>SUM(H21:H24)</f>
        <v>0</v>
      </c>
      <c r="I25" s="1298">
        <f>SUM(I21:I24)</f>
        <v>46620</v>
      </c>
      <c r="J25" s="1298">
        <f>SUM(J21:J24)</f>
        <v>25720</v>
      </c>
    </row>
    <row r="26" spans="1:10" ht="15" customHeight="1" x14ac:dyDescent="0.25">
      <c r="A26" s="1922" t="s">
        <v>597</v>
      </c>
      <c r="B26" s="1923"/>
      <c r="C26" s="1923"/>
      <c r="D26" s="1923"/>
      <c r="E26" s="1923"/>
      <c r="F26" s="1923"/>
      <c r="G26" s="1923"/>
      <c r="H26" s="1923"/>
      <c r="I26" s="1923"/>
      <c r="J26" s="1924"/>
    </row>
    <row r="27" spans="1:10" ht="15.75" x14ac:dyDescent="0.2">
      <c r="A27" s="1304" t="s">
        <v>421</v>
      </c>
      <c r="B27" s="1302" t="s">
        <v>754</v>
      </c>
      <c r="C27" s="1882" t="s">
        <v>397</v>
      </c>
      <c r="D27" s="1891">
        <v>2016</v>
      </c>
      <c r="E27" s="1891">
        <v>2018</v>
      </c>
      <c r="F27" s="1891" t="s">
        <v>356</v>
      </c>
      <c r="G27" s="1891" t="s">
        <v>36</v>
      </c>
      <c r="H27" s="1891">
        <v>10000</v>
      </c>
      <c r="I27" s="1915">
        <v>2430</v>
      </c>
      <c r="J27" s="1891">
        <v>500</v>
      </c>
    </row>
    <row r="28" spans="1:10" ht="16.5" customHeight="1" x14ac:dyDescent="0.2">
      <c r="A28" s="1305" t="s">
        <v>427</v>
      </c>
      <c r="B28" s="1302" t="s">
        <v>755</v>
      </c>
      <c r="C28" s="1883"/>
      <c r="D28" s="1892"/>
      <c r="E28" s="1892"/>
      <c r="F28" s="1892"/>
      <c r="G28" s="1892"/>
      <c r="H28" s="1892"/>
      <c r="I28" s="1916"/>
      <c r="J28" s="1892"/>
    </row>
    <row r="29" spans="1:10" s="1248" customFormat="1" ht="18.75" customHeight="1" x14ac:dyDescent="0.2">
      <c r="A29" s="1306" t="s">
        <v>428</v>
      </c>
      <c r="B29" s="1300" t="s">
        <v>759</v>
      </c>
      <c r="C29" s="1883"/>
      <c r="D29" s="1892"/>
      <c r="E29" s="1892"/>
      <c r="F29" s="1892"/>
      <c r="G29" s="1892"/>
      <c r="H29" s="1892"/>
      <c r="I29" s="1916"/>
      <c r="J29" s="1892"/>
    </row>
    <row r="30" spans="1:10" s="1248" customFormat="1" ht="18" customHeight="1" x14ac:dyDescent="0.2">
      <c r="A30" s="1304" t="s">
        <v>700</v>
      </c>
      <c r="B30" s="1302" t="s">
        <v>756</v>
      </c>
      <c r="C30" s="1883"/>
      <c r="D30" s="1892"/>
      <c r="E30" s="1892"/>
      <c r="F30" s="1892"/>
      <c r="G30" s="1892"/>
      <c r="H30" s="1892"/>
      <c r="I30" s="1916"/>
      <c r="J30" s="1892"/>
    </row>
    <row r="31" spans="1:10" s="1248" customFormat="1" ht="20.25" customHeight="1" x14ac:dyDescent="0.2">
      <c r="A31" s="1304" t="s">
        <v>701</v>
      </c>
      <c r="B31" s="1302" t="s">
        <v>757</v>
      </c>
      <c r="C31" s="1883"/>
      <c r="D31" s="1892"/>
      <c r="E31" s="1892"/>
      <c r="F31" s="1892"/>
      <c r="G31" s="1892"/>
      <c r="H31" s="1892"/>
      <c r="I31" s="1916"/>
      <c r="J31" s="1892"/>
    </row>
    <row r="32" spans="1:10" s="1248" customFormat="1" ht="18.75" customHeight="1" x14ac:dyDescent="0.2">
      <c r="A32" s="1304" t="s">
        <v>702</v>
      </c>
      <c r="B32" s="1302" t="s">
        <v>758</v>
      </c>
      <c r="C32" s="1884"/>
      <c r="D32" s="1893"/>
      <c r="E32" s="1893"/>
      <c r="F32" s="1893"/>
      <c r="G32" s="1893"/>
      <c r="H32" s="1893"/>
      <c r="I32" s="1917"/>
      <c r="J32" s="1893"/>
    </row>
    <row r="33" spans="1:20" s="1248" customFormat="1" ht="18" customHeight="1" x14ac:dyDescent="0.2">
      <c r="A33" s="1894" t="s">
        <v>485</v>
      </c>
      <c r="B33" s="1895"/>
      <c r="C33" s="1895"/>
      <c r="D33" s="1895"/>
      <c r="E33" s="1895"/>
      <c r="F33" s="1895"/>
      <c r="G33" s="1896"/>
      <c r="H33" s="1298">
        <f>SUM(H27)</f>
        <v>10000</v>
      </c>
      <c r="I33" s="1298">
        <f>SUM(I27)</f>
        <v>2430</v>
      </c>
      <c r="J33" s="1298">
        <f>SUM(J27)</f>
        <v>500</v>
      </c>
    </row>
    <row r="34" spans="1:20" ht="15.75" x14ac:dyDescent="0.25">
      <c r="A34" s="1888" t="s">
        <v>594</v>
      </c>
      <c r="B34" s="1889"/>
      <c r="C34" s="1889"/>
      <c r="D34" s="1889"/>
      <c r="E34" s="1889"/>
      <c r="F34" s="1889"/>
      <c r="G34" s="1890"/>
      <c r="H34" s="1310">
        <f>SUM(H10+H15+H27)</f>
        <v>32950</v>
      </c>
      <c r="I34" s="1310">
        <f>SUM(I10+I15+I21+I27)</f>
        <v>54540</v>
      </c>
      <c r="J34" s="1310">
        <f>SUM(J10+J15+J21+J27)</f>
        <v>32950</v>
      </c>
    </row>
    <row r="35" spans="1:20" ht="15.75" x14ac:dyDescent="0.25">
      <c r="A35" s="1888" t="s">
        <v>595</v>
      </c>
      <c r="B35" s="1889"/>
      <c r="C35" s="1889"/>
      <c r="D35" s="1889"/>
      <c r="E35" s="1889"/>
      <c r="F35" s="1889"/>
      <c r="G35" s="1890"/>
      <c r="H35" s="1310">
        <f>SUM(H12+H18+H23)</f>
        <v>32950</v>
      </c>
      <c r="I35" s="1310">
        <f>SUM(I12+I18+I23)</f>
        <v>54540</v>
      </c>
      <c r="J35" s="1310">
        <f>SUM(J12+J18+J23)</f>
        <v>32950</v>
      </c>
    </row>
    <row r="36" spans="1:20" ht="15.75" x14ac:dyDescent="0.25">
      <c r="A36" s="1903" t="s">
        <v>487</v>
      </c>
      <c r="B36" s="1904"/>
      <c r="C36" s="1904"/>
      <c r="D36" s="1904"/>
      <c r="E36" s="1904"/>
      <c r="F36" s="1904"/>
      <c r="G36" s="1905"/>
      <c r="H36" s="1311">
        <f>SUM(H34:H35)</f>
        <v>65900</v>
      </c>
      <c r="I36" s="1311">
        <f>SUM(I34:I35)</f>
        <v>109080</v>
      </c>
      <c r="J36" s="1311">
        <f>SUM(J34:J35)</f>
        <v>65900</v>
      </c>
    </row>
    <row r="37" spans="1:20" ht="19.5" customHeight="1" x14ac:dyDescent="0.25">
      <c r="A37" s="1312" t="s">
        <v>780</v>
      </c>
      <c r="B37" s="1313"/>
      <c r="C37" s="1313"/>
      <c r="D37" s="1313"/>
      <c r="E37" s="1313"/>
      <c r="F37" s="1313"/>
      <c r="G37" s="1313"/>
      <c r="H37" s="1285"/>
      <c r="I37" s="1285"/>
      <c r="J37" s="1286"/>
    </row>
    <row r="38" spans="1:20" ht="15.75" x14ac:dyDescent="0.25">
      <c r="A38" s="1299" t="s">
        <v>781</v>
      </c>
      <c r="B38" s="1288"/>
      <c r="C38" s="1288"/>
      <c r="D38" s="1288"/>
      <c r="E38" s="1288"/>
      <c r="F38" s="1288"/>
      <c r="G38" s="1288"/>
      <c r="H38" s="1289"/>
      <c r="I38" s="1288"/>
      <c r="J38" s="1290"/>
    </row>
    <row r="39" spans="1:20" ht="33" customHeight="1" x14ac:dyDescent="0.2">
      <c r="A39" s="1302" t="s">
        <v>364</v>
      </c>
      <c r="B39" s="1273" t="s">
        <v>664</v>
      </c>
      <c r="C39" s="1891" t="s">
        <v>444</v>
      </c>
      <c r="D39" s="1891">
        <v>2016</v>
      </c>
      <c r="E39" s="1891">
        <v>2018</v>
      </c>
      <c r="F39" s="1891" t="s">
        <v>356</v>
      </c>
      <c r="G39" s="1891" t="s">
        <v>36</v>
      </c>
      <c r="H39" s="1899">
        <v>59225</v>
      </c>
      <c r="I39" s="1899">
        <v>97770</v>
      </c>
      <c r="J39" s="1899">
        <v>53325</v>
      </c>
    </row>
    <row r="40" spans="1:20" ht="31.5" customHeight="1" x14ac:dyDescent="0.2">
      <c r="A40" s="1302" t="s">
        <v>358</v>
      </c>
      <c r="B40" s="1273" t="s">
        <v>665</v>
      </c>
      <c r="C40" s="1892"/>
      <c r="D40" s="1892"/>
      <c r="E40" s="1892"/>
      <c r="F40" s="1892"/>
      <c r="G40" s="1892"/>
      <c r="H40" s="1899"/>
      <c r="I40" s="1899"/>
      <c r="J40" s="1899"/>
    </row>
    <row r="41" spans="1:20" ht="35.25" customHeight="1" x14ac:dyDescent="0.2">
      <c r="A41" s="1302" t="s">
        <v>359</v>
      </c>
      <c r="B41" s="1259" t="s">
        <v>666</v>
      </c>
      <c r="C41" s="1892"/>
      <c r="D41" s="1892"/>
      <c r="E41" s="1892"/>
      <c r="F41" s="1892"/>
      <c r="G41" s="1892"/>
      <c r="H41" s="1899"/>
      <c r="I41" s="1899"/>
      <c r="J41" s="1899"/>
    </row>
    <row r="42" spans="1:20" ht="31.5" customHeight="1" x14ac:dyDescent="0.2">
      <c r="A42" s="1302" t="s">
        <v>360</v>
      </c>
      <c r="B42" s="1259" t="s">
        <v>667</v>
      </c>
      <c r="C42" s="1892"/>
      <c r="D42" s="1892"/>
      <c r="E42" s="1892"/>
      <c r="F42" s="1892"/>
      <c r="G42" s="1892"/>
      <c r="H42" s="1899"/>
      <c r="I42" s="1899"/>
      <c r="J42" s="1899"/>
    </row>
    <row r="43" spans="1:20" ht="30" customHeight="1" x14ac:dyDescent="0.2">
      <c r="A43" s="1302" t="s">
        <v>361</v>
      </c>
      <c r="B43" s="1257" t="s">
        <v>694</v>
      </c>
      <c r="C43" s="1892"/>
      <c r="D43" s="1892"/>
      <c r="E43" s="1892"/>
      <c r="F43" s="1892"/>
      <c r="G43" s="1892"/>
      <c r="H43" s="1899"/>
      <c r="I43" s="1899"/>
      <c r="J43" s="1899"/>
    </row>
    <row r="44" spans="1:20" ht="32.25" customHeight="1" x14ac:dyDescent="0.2">
      <c r="A44" s="1302" t="s">
        <v>365</v>
      </c>
      <c r="B44" s="1259" t="s">
        <v>668</v>
      </c>
      <c r="C44" s="1892"/>
      <c r="D44" s="1892"/>
      <c r="E44" s="1892"/>
      <c r="F44" s="1892"/>
      <c r="G44" s="1892"/>
      <c r="H44" s="1899"/>
      <c r="I44" s="1899"/>
      <c r="J44" s="1899"/>
    </row>
    <row r="45" spans="1:20" ht="18.75" customHeight="1" x14ac:dyDescent="0.2">
      <c r="A45" s="1302" t="s">
        <v>366</v>
      </c>
      <c r="B45" s="1273" t="s">
        <v>628</v>
      </c>
      <c r="C45" s="1892"/>
      <c r="D45" s="1892"/>
      <c r="E45" s="1892"/>
      <c r="F45" s="1893"/>
      <c r="G45" s="1893"/>
      <c r="H45" s="1371">
        <v>58225</v>
      </c>
      <c r="I45" s="1270">
        <v>53100</v>
      </c>
      <c r="J45" s="1270">
        <v>7680</v>
      </c>
    </row>
    <row r="46" spans="1:20" ht="18" customHeight="1" x14ac:dyDescent="0.2">
      <c r="A46" s="1894" t="s">
        <v>485</v>
      </c>
      <c r="B46" s="1895"/>
      <c r="C46" s="1895"/>
      <c r="D46" s="1895"/>
      <c r="E46" s="1895"/>
      <c r="F46" s="1895"/>
      <c r="G46" s="1896"/>
      <c r="H46" s="1298">
        <f>H39+H45</f>
        <v>117450</v>
      </c>
      <c r="I46" s="1298">
        <f>I39+I45</f>
        <v>150870</v>
      </c>
      <c r="J46" s="1298">
        <f>J39+J45</f>
        <v>61005</v>
      </c>
      <c r="K46" s="1265"/>
      <c r="L46" s="1266"/>
      <c r="M46" s="1264"/>
      <c r="N46" s="1264"/>
      <c r="O46" s="1264"/>
      <c r="P46" s="1264"/>
      <c r="Q46" s="1264"/>
      <c r="R46" s="1262"/>
      <c r="S46" s="1262"/>
      <c r="T46" s="1267"/>
    </row>
    <row r="47" spans="1:20" ht="15.75" x14ac:dyDescent="0.25">
      <c r="A47" s="1299" t="s">
        <v>782</v>
      </c>
      <c r="B47" s="1288"/>
      <c r="C47" s="1288"/>
      <c r="D47" s="1288"/>
      <c r="E47" s="1288"/>
      <c r="F47" s="1288"/>
      <c r="G47" s="1288"/>
      <c r="H47" s="1289"/>
      <c r="I47" s="1288"/>
      <c r="J47" s="1290"/>
    </row>
    <row r="48" spans="1:20" ht="30" customHeight="1" x14ac:dyDescent="0.2">
      <c r="A48" s="1279" t="s">
        <v>367</v>
      </c>
      <c r="B48" s="1302" t="s">
        <v>633</v>
      </c>
      <c r="C48" s="1891" t="s">
        <v>429</v>
      </c>
      <c r="D48" s="1891">
        <v>2016</v>
      </c>
      <c r="E48" s="1891">
        <v>2018</v>
      </c>
      <c r="F48" s="1891" t="s">
        <v>356</v>
      </c>
      <c r="G48" s="1891" t="s">
        <v>36</v>
      </c>
      <c r="H48" s="1891">
        <v>4000</v>
      </c>
      <c r="I48" s="1891">
        <v>0</v>
      </c>
      <c r="J48" s="1891">
        <v>0</v>
      </c>
    </row>
    <row r="49" spans="1:20" ht="14.25" customHeight="1" x14ac:dyDescent="0.2">
      <c r="A49" s="1280" t="s">
        <v>430</v>
      </c>
      <c r="B49" s="1314" t="s">
        <v>634</v>
      </c>
      <c r="C49" s="1892"/>
      <c r="D49" s="1892"/>
      <c r="E49" s="1892"/>
      <c r="F49" s="1892"/>
      <c r="G49" s="1892"/>
      <c r="H49" s="1892"/>
      <c r="I49" s="1892"/>
      <c r="J49" s="1892"/>
    </row>
    <row r="50" spans="1:20" ht="28.5" customHeight="1" x14ac:dyDescent="0.2">
      <c r="A50" s="1302" t="s">
        <v>431</v>
      </c>
      <c r="B50" s="1315" t="s">
        <v>635</v>
      </c>
      <c r="C50" s="1892"/>
      <c r="D50" s="1892"/>
      <c r="E50" s="1892"/>
      <c r="F50" s="1892"/>
      <c r="G50" s="1892"/>
      <c r="H50" s="1893"/>
      <c r="I50" s="1893"/>
      <c r="J50" s="1893"/>
    </row>
    <row r="51" spans="1:20" ht="13.5" customHeight="1" x14ac:dyDescent="0.2">
      <c r="A51" s="1296" t="s">
        <v>490</v>
      </c>
      <c r="B51" s="1273" t="s">
        <v>488</v>
      </c>
      <c r="C51" s="1892"/>
      <c r="D51" s="1892"/>
      <c r="E51" s="1892"/>
      <c r="F51" s="1892"/>
      <c r="G51" s="1892"/>
      <c r="H51" s="1891">
        <v>15000</v>
      </c>
      <c r="I51" s="1891">
        <v>0</v>
      </c>
      <c r="J51" s="1891">
        <v>0</v>
      </c>
    </row>
    <row r="52" spans="1:20" ht="51.75" customHeight="1" x14ac:dyDescent="0.2">
      <c r="A52" s="1316" t="s">
        <v>491</v>
      </c>
      <c r="B52" s="1273" t="s">
        <v>610</v>
      </c>
      <c r="C52" s="1892"/>
      <c r="D52" s="1892"/>
      <c r="E52" s="1892"/>
      <c r="F52" s="1892"/>
      <c r="G52" s="1892"/>
      <c r="H52" s="1892"/>
      <c r="I52" s="1892"/>
      <c r="J52" s="1892"/>
    </row>
    <row r="53" spans="1:20" ht="34.5" customHeight="1" x14ac:dyDescent="0.2">
      <c r="A53" s="1316" t="s">
        <v>492</v>
      </c>
      <c r="B53" s="1273" t="s">
        <v>611</v>
      </c>
      <c r="C53" s="1892"/>
      <c r="D53" s="1892"/>
      <c r="E53" s="1892"/>
      <c r="F53" s="1892"/>
      <c r="G53" s="1892"/>
      <c r="H53" s="1892"/>
      <c r="I53" s="1892"/>
      <c r="J53" s="1892"/>
    </row>
    <row r="54" spans="1:20" ht="16.5" customHeight="1" x14ac:dyDescent="0.2">
      <c r="A54" s="1296" t="s">
        <v>362</v>
      </c>
      <c r="B54" s="1273" t="s">
        <v>489</v>
      </c>
      <c r="C54" s="1893"/>
      <c r="D54" s="1893"/>
      <c r="E54" s="1893"/>
      <c r="F54" s="1893"/>
      <c r="G54" s="1893"/>
      <c r="H54" s="1893"/>
      <c r="I54" s="1893"/>
      <c r="J54" s="1893"/>
    </row>
    <row r="55" spans="1:20" ht="15" customHeight="1" x14ac:dyDescent="0.2">
      <c r="A55" s="1894" t="s">
        <v>485</v>
      </c>
      <c r="B55" s="1895"/>
      <c r="C55" s="1895"/>
      <c r="D55" s="1895"/>
      <c r="E55" s="1895"/>
      <c r="F55" s="1895"/>
      <c r="G55" s="1896"/>
      <c r="H55" s="1298">
        <f>SUM(H48:H54)</f>
        <v>19000</v>
      </c>
      <c r="I55" s="1298">
        <f>SUM(I48:I54)</f>
        <v>0</v>
      </c>
      <c r="J55" s="1298">
        <f>SUM(J48:J54)</f>
        <v>0</v>
      </c>
      <c r="K55" s="1265"/>
      <c r="L55" s="1266"/>
      <c r="M55" s="1264"/>
      <c r="N55" s="1264"/>
      <c r="O55" s="1264"/>
      <c r="P55" s="1264"/>
      <c r="Q55" s="1264"/>
      <c r="R55" s="1262"/>
      <c r="S55" s="1262"/>
      <c r="T55" s="1267"/>
    </row>
    <row r="56" spans="1:20" ht="15.75" x14ac:dyDescent="0.25">
      <c r="A56" s="1299" t="s">
        <v>783</v>
      </c>
      <c r="B56" s="1288"/>
      <c r="C56" s="1288"/>
      <c r="D56" s="1288"/>
      <c r="E56" s="1288"/>
      <c r="F56" s="1288"/>
      <c r="G56" s="1288"/>
      <c r="H56" s="1289"/>
      <c r="I56" s="1288"/>
      <c r="J56" s="1290"/>
    </row>
    <row r="57" spans="1:20" ht="28.5" customHeight="1" x14ac:dyDescent="0.2">
      <c r="A57" s="1302" t="s">
        <v>368</v>
      </c>
      <c r="B57" s="1302" t="s">
        <v>633</v>
      </c>
      <c r="C57" s="1891" t="s">
        <v>396</v>
      </c>
      <c r="D57" s="1891">
        <v>2016</v>
      </c>
      <c r="E57" s="1891">
        <v>2018</v>
      </c>
      <c r="F57" s="1891" t="s">
        <v>356</v>
      </c>
      <c r="G57" s="1898" t="s">
        <v>36</v>
      </c>
      <c r="H57" s="1270">
        <v>0</v>
      </c>
      <c r="I57" s="1292">
        <v>21000</v>
      </c>
      <c r="J57" s="1292">
        <v>19400</v>
      </c>
    </row>
    <row r="58" spans="1:20" ht="47.25" customHeight="1" x14ac:dyDescent="0.2">
      <c r="A58" s="1302" t="s">
        <v>432</v>
      </c>
      <c r="B58" s="1273" t="s">
        <v>610</v>
      </c>
      <c r="C58" s="1892"/>
      <c r="D58" s="1892"/>
      <c r="E58" s="1892"/>
      <c r="F58" s="1892"/>
      <c r="G58" s="1898"/>
      <c r="H58" s="1899">
        <v>0</v>
      </c>
      <c r="I58" s="1898">
        <v>68100</v>
      </c>
      <c r="J58" s="1898">
        <v>65545</v>
      </c>
    </row>
    <row r="59" spans="1:20" ht="17.25" customHeight="1" x14ac:dyDescent="0.2">
      <c r="A59" s="1296" t="s">
        <v>493</v>
      </c>
      <c r="B59" s="1273" t="s">
        <v>488</v>
      </c>
      <c r="C59" s="1892"/>
      <c r="D59" s="1892"/>
      <c r="E59" s="1892"/>
      <c r="F59" s="1892"/>
      <c r="G59" s="1898"/>
      <c r="H59" s="1899"/>
      <c r="I59" s="1898"/>
      <c r="J59" s="1898"/>
    </row>
    <row r="60" spans="1:20" ht="18" customHeight="1" x14ac:dyDescent="0.2">
      <c r="A60" s="1296" t="s">
        <v>494</v>
      </c>
      <c r="B60" s="1273" t="s">
        <v>489</v>
      </c>
      <c r="C60" s="1892"/>
      <c r="D60" s="1892"/>
      <c r="E60" s="1892"/>
      <c r="F60" s="1893"/>
      <c r="G60" s="1898"/>
      <c r="H60" s="1899"/>
      <c r="I60" s="1898"/>
      <c r="J60" s="1898"/>
    </row>
    <row r="61" spans="1:20" ht="34.5" customHeight="1" x14ac:dyDescent="0.2">
      <c r="A61" s="1296" t="s">
        <v>495</v>
      </c>
      <c r="B61" s="1277" t="s">
        <v>611</v>
      </c>
      <c r="C61" s="1898" t="s">
        <v>396</v>
      </c>
      <c r="D61" s="1898">
        <v>2019</v>
      </c>
      <c r="E61" s="1898">
        <v>2021</v>
      </c>
      <c r="F61" s="1898" t="s">
        <v>356</v>
      </c>
      <c r="G61" s="1898" t="s">
        <v>36</v>
      </c>
      <c r="H61" s="1882">
        <v>0</v>
      </c>
      <c r="I61" s="1891">
        <v>0</v>
      </c>
      <c r="J61" s="1891">
        <v>0</v>
      </c>
    </row>
    <row r="62" spans="1:20" ht="15.75" customHeight="1" x14ac:dyDescent="0.2">
      <c r="A62" s="1296" t="s">
        <v>496</v>
      </c>
      <c r="B62" s="1317" t="s">
        <v>634</v>
      </c>
      <c r="C62" s="1898"/>
      <c r="D62" s="1898"/>
      <c r="E62" s="1898"/>
      <c r="F62" s="1898"/>
      <c r="G62" s="1898"/>
      <c r="H62" s="1883"/>
      <c r="I62" s="1892"/>
      <c r="J62" s="1892"/>
    </row>
    <row r="63" spans="1:20" ht="32.25" customHeight="1" x14ac:dyDescent="0.2">
      <c r="A63" s="1302" t="s">
        <v>497</v>
      </c>
      <c r="B63" s="1318" t="s">
        <v>635</v>
      </c>
      <c r="C63" s="1898"/>
      <c r="D63" s="1898"/>
      <c r="E63" s="1898"/>
      <c r="F63" s="1898"/>
      <c r="G63" s="1898"/>
      <c r="H63" s="1883"/>
      <c r="I63" s="1892"/>
      <c r="J63" s="1892"/>
    </row>
    <row r="64" spans="1:20" ht="17.25" customHeight="1" x14ac:dyDescent="0.2">
      <c r="A64" s="1302" t="s">
        <v>593</v>
      </c>
      <c r="B64" s="1273" t="s">
        <v>592</v>
      </c>
      <c r="C64" s="1898"/>
      <c r="D64" s="1898"/>
      <c r="E64" s="1898"/>
      <c r="F64" s="1898"/>
      <c r="G64" s="1898"/>
      <c r="H64" s="1884"/>
      <c r="I64" s="1893"/>
      <c r="J64" s="1893"/>
    </row>
    <row r="65" spans="1:257" ht="18.75" customHeight="1" x14ac:dyDescent="0.2">
      <c r="A65" s="1894" t="s">
        <v>485</v>
      </c>
      <c r="B65" s="1895"/>
      <c r="C65" s="1895"/>
      <c r="D65" s="1895"/>
      <c r="E65" s="1895"/>
      <c r="F65" s="1895"/>
      <c r="G65" s="1896"/>
      <c r="H65" s="1319">
        <f>SUM(H57:H61)</f>
        <v>0</v>
      </c>
      <c r="I65" s="1319">
        <f>SUM(I57:I61)</f>
        <v>89100</v>
      </c>
      <c r="J65" s="1319">
        <f>SUM(J57:J62)</f>
        <v>84945</v>
      </c>
    </row>
    <row r="66" spans="1:257" ht="15.75" x14ac:dyDescent="0.25">
      <c r="A66" s="1922" t="s">
        <v>598</v>
      </c>
      <c r="B66" s="1923"/>
      <c r="C66" s="1923"/>
      <c r="D66" s="1923"/>
      <c r="E66" s="1923"/>
      <c r="F66" s="1923"/>
      <c r="G66" s="1923"/>
      <c r="H66" s="1923"/>
      <c r="I66" s="1923"/>
      <c r="J66" s="1924"/>
    </row>
    <row r="67" spans="1:257" ht="18" customHeight="1" x14ac:dyDescent="0.2">
      <c r="A67" s="1304" t="s">
        <v>369</v>
      </c>
      <c r="B67" s="1302" t="s">
        <v>636</v>
      </c>
      <c r="C67" s="1882" t="s">
        <v>397</v>
      </c>
      <c r="D67" s="1885">
        <v>2016</v>
      </c>
      <c r="E67" s="1879">
        <v>2018</v>
      </c>
      <c r="F67" s="1882" t="s">
        <v>356</v>
      </c>
      <c r="G67" s="1885" t="s">
        <v>36</v>
      </c>
      <c r="H67" s="1882">
        <v>10000</v>
      </c>
      <c r="I67" s="1882">
        <v>2430</v>
      </c>
      <c r="J67" s="1882">
        <v>500</v>
      </c>
    </row>
    <row r="68" spans="1:257" ht="18.75" customHeight="1" x14ac:dyDescent="0.2">
      <c r="A68" s="1304" t="s">
        <v>433</v>
      </c>
      <c r="B68" s="1314" t="s">
        <v>637</v>
      </c>
      <c r="C68" s="1883"/>
      <c r="D68" s="1886"/>
      <c r="E68" s="1880"/>
      <c r="F68" s="1883"/>
      <c r="G68" s="1886"/>
      <c r="H68" s="1883"/>
      <c r="I68" s="1883"/>
      <c r="J68" s="1883"/>
    </row>
    <row r="69" spans="1:257" ht="18" customHeight="1" x14ac:dyDescent="0.2">
      <c r="A69" s="1306" t="s">
        <v>434</v>
      </c>
      <c r="B69" s="1320" t="s">
        <v>638</v>
      </c>
      <c r="C69" s="1883"/>
      <c r="D69" s="1886"/>
      <c r="E69" s="1880"/>
      <c r="F69" s="1883"/>
      <c r="G69" s="1886"/>
      <c r="H69" s="1883"/>
      <c r="I69" s="1883"/>
      <c r="J69" s="1883"/>
    </row>
    <row r="70" spans="1:257" ht="18" customHeight="1" x14ac:dyDescent="0.2">
      <c r="A70" s="1273" t="s">
        <v>498</v>
      </c>
      <c r="B70" s="1273" t="s">
        <v>612</v>
      </c>
      <c r="C70" s="1883"/>
      <c r="D70" s="1886"/>
      <c r="E70" s="1880"/>
      <c r="F70" s="1883"/>
      <c r="G70" s="1886"/>
      <c r="H70" s="1883"/>
      <c r="I70" s="1883"/>
      <c r="J70" s="1883"/>
    </row>
    <row r="71" spans="1:257" ht="18" customHeight="1" x14ac:dyDescent="0.2">
      <c r="A71" s="1273" t="s">
        <v>703</v>
      </c>
      <c r="B71" s="1273" t="s">
        <v>760</v>
      </c>
      <c r="C71" s="1883"/>
      <c r="D71" s="1886"/>
      <c r="E71" s="1880"/>
      <c r="F71" s="1883"/>
      <c r="G71" s="1886"/>
      <c r="H71" s="1883"/>
      <c r="I71" s="1883"/>
      <c r="J71" s="1883"/>
    </row>
    <row r="72" spans="1:257" ht="18" customHeight="1" x14ac:dyDescent="0.2">
      <c r="A72" s="1273" t="s">
        <v>704</v>
      </c>
      <c r="B72" s="1273" t="s">
        <v>761</v>
      </c>
      <c r="C72" s="1884"/>
      <c r="D72" s="1887"/>
      <c r="E72" s="1881"/>
      <c r="F72" s="1884"/>
      <c r="G72" s="1887"/>
      <c r="H72" s="1884"/>
      <c r="I72" s="1884"/>
      <c r="J72" s="1884"/>
    </row>
    <row r="73" spans="1:257" ht="16.5" customHeight="1" x14ac:dyDescent="0.2">
      <c r="A73" s="1894" t="s">
        <v>485</v>
      </c>
      <c r="B73" s="1895"/>
      <c r="C73" s="1895"/>
      <c r="D73" s="1895"/>
      <c r="E73" s="1895"/>
      <c r="F73" s="1895"/>
      <c r="G73" s="1896"/>
      <c r="H73" s="1319">
        <f>SUM(H67:H70)</f>
        <v>10000</v>
      </c>
      <c r="I73" s="1319">
        <f>SUM(I67:I70)</f>
        <v>2430</v>
      </c>
      <c r="J73" s="1319">
        <f>SUM(J67:J70)</f>
        <v>500</v>
      </c>
    </row>
    <row r="74" spans="1:257" ht="15.75" x14ac:dyDescent="0.25">
      <c r="A74" s="1888" t="s">
        <v>594</v>
      </c>
      <c r="B74" s="1889"/>
      <c r="C74" s="1889"/>
      <c r="D74" s="1889"/>
      <c r="E74" s="1889"/>
      <c r="F74" s="1889"/>
      <c r="G74" s="1890"/>
      <c r="H74" s="1310">
        <f>SUM(H39+H48+H57+H67)</f>
        <v>73225</v>
      </c>
      <c r="I74" s="1310">
        <f>SUM(I39+I48+I57+I67)</f>
        <v>121200</v>
      </c>
      <c r="J74" s="1310">
        <f>SUM(J39+J48+J57+J67)</f>
        <v>73225</v>
      </c>
    </row>
    <row r="75" spans="1:257" ht="15.75" x14ac:dyDescent="0.25">
      <c r="A75" s="1888" t="s">
        <v>595</v>
      </c>
      <c r="B75" s="1889"/>
      <c r="C75" s="1889"/>
      <c r="D75" s="1889"/>
      <c r="E75" s="1889"/>
      <c r="F75" s="1889"/>
      <c r="G75" s="1890"/>
      <c r="H75" s="1310">
        <f>SUM(H45+H51+H58+H70)</f>
        <v>73225</v>
      </c>
      <c r="I75" s="1310">
        <f>I45+I51+I58</f>
        <v>121200</v>
      </c>
      <c r="J75" s="1310">
        <f>SUM(J45+J51+J58+J70)</f>
        <v>73225</v>
      </c>
      <c r="K75" s="1263"/>
      <c r="L75" s="1263"/>
      <c r="M75" s="1263"/>
      <c r="N75" s="1263"/>
      <c r="O75" s="1263"/>
      <c r="P75" s="1263"/>
      <c r="Q75" s="1263"/>
      <c r="R75" s="1263"/>
      <c r="S75" s="1263"/>
      <c r="T75" s="1263"/>
      <c r="U75" s="1263"/>
      <c r="V75" s="1263"/>
      <c r="W75" s="1263"/>
      <c r="X75" s="1263"/>
      <c r="Y75" s="1263"/>
      <c r="Z75" s="1263"/>
      <c r="AA75" s="1263"/>
      <c r="AB75" s="1263"/>
      <c r="AC75" s="1263"/>
      <c r="AD75" s="1263"/>
      <c r="AE75" s="1263"/>
      <c r="AF75" s="1263"/>
      <c r="AG75" s="1263"/>
      <c r="AH75" s="1263"/>
      <c r="AI75" s="1263"/>
      <c r="AJ75" s="1263"/>
      <c r="AK75" s="1263"/>
      <c r="AL75" s="1263"/>
      <c r="AM75" s="1263"/>
      <c r="AN75" s="1263"/>
      <c r="AO75" s="1263"/>
      <c r="AP75" s="1263"/>
      <c r="AQ75" s="1263"/>
      <c r="AR75" s="1263"/>
      <c r="AS75" s="1263"/>
      <c r="AT75" s="1263"/>
      <c r="AU75" s="1263"/>
      <c r="AV75" s="1263"/>
      <c r="AW75" s="1263"/>
      <c r="AX75" s="1263"/>
      <c r="AY75" s="1263"/>
      <c r="AZ75" s="1263"/>
      <c r="BA75" s="1263"/>
      <c r="BB75" s="1263"/>
      <c r="BC75" s="1263"/>
      <c r="BD75" s="1263"/>
      <c r="BE75" s="1263"/>
      <c r="BF75" s="1263"/>
      <c r="BG75" s="1263"/>
      <c r="BH75" s="1263"/>
      <c r="BI75" s="1263"/>
      <c r="BJ75" s="1263"/>
      <c r="BK75" s="1263"/>
      <c r="BL75" s="1263"/>
      <c r="BM75" s="1263"/>
      <c r="BN75" s="1263"/>
      <c r="BO75" s="1263"/>
      <c r="BP75" s="1263"/>
      <c r="BQ75" s="1263"/>
      <c r="BR75" s="1263"/>
      <c r="BS75" s="1263"/>
      <c r="BT75" s="1263"/>
      <c r="BU75" s="1263"/>
      <c r="BV75" s="1263"/>
      <c r="BW75" s="1263"/>
      <c r="BX75" s="1263"/>
      <c r="BY75" s="1263"/>
      <c r="BZ75" s="1263"/>
      <c r="CA75" s="1263"/>
      <c r="CB75" s="1263"/>
      <c r="CC75" s="1263"/>
      <c r="CD75" s="1263"/>
      <c r="CE75" s="1263"/>
      <c r="CF75" s="1263"/>
      <c r="CG75" s="1263"/>
      <c r="CH75" s="1263"/>
      <c r="CI75" s="1263"/>
      <c r="CJ75" s="1263"/>
      <c r="CK75" s="1263"/>
      <c r="CL75" s="1263"/>
      <c r="CM75" s="1263"/>
      <c r="CN75" s="1263"/>
      <c r="CO75" s="1263"/>
      <c r="CP75" s="1263"/>
      <c r="CQ75" s="1263"/>
      <c r="CR75" s="1263"/>
      <c r="CS75" s="1263"/>
      <c r="CT75" s="1263"/>
      <c r="CU75" s="1263"/>
      <c r="CV75" s="1263"/>
      <c r="CW75" s="1263"/>
      <c r="CX75" s="1263"/>
      <c r="CY75" s="1263"/>
      <c r="CZ75" s="1263"/>
      <c r="DA75" s="1263"/>
      <c r="DB75" s="1263"/>
      <c r="DC75" s="1263"/>
      <c r="DD75" s="1263"/>
      <c r="DE75" s="1263"/>
      <c r="DF75" s="1263"/>
      <c r="DG75" s="1263"/>
      <c r="DH75" s="1263"/>
      <c r="DI75" s="1263"/>
      <c r="DJ75" s="1263"/>
      <c r="DK75" s="1263"/>
      <c r="DL75" s="1263"/>
      <c r="DM75" s="1263"/>
      <c r="DN75" s="1263"/>
      <c r="DO75" s="1263"/>
      <c r="DP75" s="1263"/>
      <c r="DQ75" s="1263"/>
      <c r="DR75" s="1263"/>
      <c r="DS75" s="1263"/>
      <c r="DT75" s="1263"/>
      <c r="DU75" s="1263"/>
      <c r="DV75" s="1263"/>
      <c r="DW75" s="1263"/>
      <c r="DX75" s="1263"/>
      <c r="DY75" s="1263"/>
      <c r="DZ75" s="1263"/>
      <c r="EA75" s="1263"/>
      <c r="EB75" s="1263"/>
      <c r="EC75" s="1263"/>
      <c r="ED75" s="1263"/>
      <c r="EE75" s="1263"/>
      <c r="EF75" s="1263"/>
      <c r="EG75" s="1263"/>
      <c r="EH75" s="1263"/>
      <c r="EI75" s="1263"/>
      <c r="EJ75" s="1263"/>
      <c r="EK75" s="1263"/>
      <c r="EL75" s="1263"/>
      <c r="EM75" s="1263"/>
      <c r="EN75" s="1263"/>
      <c r="EO75" s="1263"/>
      <c r="EP75" s="1263"/>
      <c r="EQ75" s="1263"/>
      <c r="ER75" s="1263"/>
      <c r="ES75" s="1263"/>
      <c r="ET75" s="1263"/>
      <c r="EU75" s="1263"/>
      <c r="EV75" s="1263"/>
      <c r="EW75" s="1263"/>
      <c r="EX75" s="1263"/>
      <c r="EY75" s="1263"/>
      <c r="EZ75" s="1263"/>
      <c r="FA75" s="1263"/>
      <c r="FB75" s="1263"/>
      <c r="FC75" s="1263"/>
      <c r="FD75" s="1263"/>
      <c r="FE75" s="1263"/>
      <c r="FF75" s="1263"/>
      <c r="FG75" s="1263"/>
      <c r="FH75" s="1263"/>
      <c r="FI75" s="1263"/>
      <c r="FJ75" s="1263"/>
      <c r="FK75" s="1263"/>
      <c r="FL75" s="1263"/>
      <c r="FM75" s="1263"/>
      <c r="FN75" s="1263"/>
      <c r="FO75" s="1263"/>
      <c r="FP75" s="1263"/>
      <c r="FQ75" s="1263"/>
      <c r="FR75" s="1263"/>
      <c r="FS75" s="1263"/>
      <c r="FT75" s="1263"/>
      <c r="FU75" s="1263"/>
      <c r="FV75" s="1263"/>
      <c r="FW75" s="1263"/>
      <c r="FX75" s="1263"/>
      <c r="FY75" s="1263"/>
      <c r="FZ75" s="1263"/>
      <c r="GA75" s="1263"/>
      <c r="GB75" s="1263"/>
      <c r="GC75" s="1263"/>
      <c r="GD75" s="1263"/>
      <c r="GE75" s="1263"/>
      <c r="GF75" s="1263"/>
      <c r="GG75" s="1263"/>
      <c r="GH75" s="1263"/>
      <c r="GI75" s="1263"/>
      <c r="GJ75" s="1263"/>
      <c r="GK75" s="1263"/>
      <c r="GL75" s="1263"/>
      <c r="GM75" s="1263"/>
      <c r="GN75" s="1263"/>
      <c r="GO75" s="1263"/>
      <c r="GP75" s="1263"/>
      <c r="GQ75" s="1263"/>
      <c r="GR75" s="1263"/>
      <c r="GS75" s="1263"/>
      <c r="GT75" s="1263"/>
      <c r="GU75" s="1263"/>
      <c r="GV75" s="1263"/>
      <c r="GW75" s="1263"/>
      <c r="GX75" s="1263"/>
      <c r="GY75" s="1263"/>
      <c r="GZ75" s="1263"/>
      <c r="HA75" s="1263"/>
      <c r="HB75" s="1263"/>
      <c r="HC75" s="1263"/>
      <c r="HD75" s="1263"/>
      <c r="HE75" s="1263"/>
      <c r="HF75" s="1263"/>
      <c r="HG75" s="1263"/>
      <c r="HH75" s="1263"/>
      <c r="HI75" s="1263"/>
      <c r="HJ75" s="1263"/>
      <c r="HK75" s="1263"/>
      <c r="HL75" s="1263"/>
      <c r="HM75" s="1263"/>
      <c r="HN75" s="1263"/>
      <c r="HO75" s="1263"/>
      <c r="HP75" s="1263"/>
      <c r="HQ75" s="1268"/>
      <c r="HR75" s="1268"/>
      <c r="HS75" s="1248"/>
    </row>
    <row r="76" spans="1:257" ht="15.75" x14ac:dyDescent="0.25">
      <c r="A76" s="1903" t="s">
        <v>487</v>
      </c>
      <c r="B76" s="1904"/>
      <c r="C76" s="1904"/>
      <c r="D76" s="1904"/>
      <c r="E76" s="1904"/>
      <c r="F76" s="1904"/>
      <c r="G76" s="1905"/>
      <c r="H76" s="1311">
        <f>H74+H75</f>
        <v>146450</v>
      </c>
      <c r="I76" s="1311">
        <f>I74+I75</f>
        <v>242400</v>
      </c>
      <c r="J76" s="1311">
        <f>J74+J75</f>
        <v>146450</v>
      </c>
      <c r="K76" s="1263"/>
      <c r="L76" s="1263"/>
      <c r="M76" s="1263"/>
      <c r="N76" s="1263"/>
      <c r="O76" s="1263"/>
      <c r="P76" s="1263"/>
      <c r="Q76" s="1263"/>
      <c r="R76" s="1263"/>
      <c r="S76" s="1263"/>
      <c r="T76" s="1263"/>
      <c r="U76" s="1263"/>
      <c r="V76" s="1263"/>
      <c r="W76" s="1263"/>
      <c r="X76" s="1263"/>
      <c r="Y76" s="1263"/>
      <c r="Z76" s="1263"/>
      <c r="AA76" s="1263"/>
      <c r="AB76" s="1263"/>
      <c r="AC76" s="1263"/>
      <c r="AD76" s="1263"/>
      <c r="AE76" s="1263"/>
      <c r="AF76" s="1263"/>
      <c r="AG76" s="1263"/>
      <c r="AH76" s="1263"/>
      <c r="AI76" s="1263"/>
      <c r="AJ76" s="1263"/>
      <c r="AK76" s="1263"/>
      <c r="AL76" s="1263"/>
      <c r="AM76" s="1263"/>
      <c r="AN76" s="1263"/>
      <c r="AO76" s="1263"/>
      <c r="AP76" s="1263"/>
      <c r="AQ76" s="1263"/>
      <c r="AR76" s="1263"/>
      <c r="AS76" s="1263"/>
      <c r="AT76" s="1263"/>
      <c r="AU76" s="1263"/>
      <c r="AV76" s="1263"/>
      <c r="AW76" s="1263"/>
      <c r="AX76" s="1263"/>
      <c r="AY76" s="1263"/>
      <c r="AZ76" s="1263"/>
      <c r="BA76" s="1263"/>
      <c r="BB76" s="1263"/>
      <c r="BC76" s="1263"/>
      <c r="BD76" s="1263"/>
      <c r="BE76" s="1263"/>
      <c r="BF76" s="1263"/>
      <c r="BG76" s="1263"/>
      <c r="BH76" s="1263"/>
      <c r="BI76" s="1263"/>
      <c r="BJ76" s="1263"/>
      <c r="BK76" s="1263"/>
      <c r="BL76" s="1263"/>
      <c r="BM76" s="1263"/>
      <c r="BN76" s="1263"/>
      <c r="BO76" s="1263"/>
      <c r="BP76" s="1263"/>
      <c r="BQ76" s="1263"/>
      <c r="BR76" s="1263"/>
      <c r="BS76" s="1263"/>
      <c r="BT76" s="1263"/>
      <c r="BU76" s="1263"/>
      <c r="BV76" s="1263"/>
      <c r="BW76" s="1263"/>
      <c r="BX76" s="1263"/>
      <c r="BY76" s="1263"/>
      <c r="BZ76" s="1263"/>
      <c r="CA76" s="1263"/>
      <c r="CB76" s="1263"/>
      <c r="CC76" s="1263"/>
      <c r="CD76" s="1263"/>
      <c r="CE76" s="1263"/>
      <c r="CF76" s="1263"/>
      <c r="CG76" s="1263"/>
      <c r="CH76" s="1263"/>
      <c r="CI76" s="1263"/>
      <c r="CJ76" s="1263"/>
      <c r="CK76" s="1263"/>
      <c r="CL76" s="1263"/>
      <c r="CM76" s="1263"/>
      <c r="CN76" s="1263"/>
      <c r="CO76" s="1263"/>
      <c r="CP76" s="1263"/>
      <c r="CQ76" s="1263"/>
      <c r="CR76" s="1263"/>
      <c r="CS76" s="1263"/>
      <c r="CT76" s="1263"/>
      <c r="CU76" s="1263"/>
      <c r="CV76" s="1263"/>
      <c r="CW76" s="1263"/>
      <c r="CX76" s="1263"/>
      <c r="CY76" s="1263"/>
      <c r="CZ76" s="1263"/>
      <c r="DA76" s="1263"/>
      <c r="DB76" s="1263"/>
      <c r="DC76" s="1263"/>
      <c r="DD76" s="1263"/>
      <c r="DE76" s="1263"/>
      <c r="DF76" s="1263"/>
      <c r="DG76" s="1263"/>
      <c r="DH76" s="1263"/>
      <c r="DI76" s="1263"/>
      <c r="DJ76" s="1263"/>
      <c r="DK76" s="1263"/>
      <c r="DL76" s="1263"/>
      <c r="DM76" s="1263"/>
      <c r="DN76" s="1263"/>
      <c r="DO76" s="1263"/>
      <c r="DP76" s="1263"/>
      <c r="DQ76" s="1263"/>
      <c r="DR76" s="1263"/>
      <c r="DS76" s="1263"/>
      <c r="DT76" s="1263"/>
      <c r="DU76" s="1263"/>
      <c r="DV76" s="1263"/>
      <c r="DW76" s="1263"/>
      <c r="DX76" s="1263"/>
      <c r="DY76" s="1263"/>
      <c r="DZ76" s="1263"/>
      <c r="EA76" s="1263"/>
      <c r="EB76" s="1263"/>
      <c r="EC76" s="1263"/>
      <c r="ED76" s="1263"/>
      <c r="EE76" s="1263"/>
      <c r="EF76" s="1263"/>
      <c r="EG76" s="1263"/>
      <c r="EH76" s="1263"/>
      <c r="EI76" s="1263"/>
      <c r="EJ76" s="1263"/>
      <c r="EK76" s="1263"/>
      <c r="EL76" s="1263"/>
      <c r="EM76" s="1263"/>
      <c r="EN76" s="1263"/>
      <c r="EO76" s="1263"/>
      <c r="EP76" s="1263"/>
      <c r="EQ76" s="1263"/>
      <c r="ER76" s="1263"/>
      <c r="ES76" s="1263"/>
      <c r="ET76" s="1263"/>
      <c r="EU76" s="1263"/>
      <c r="EV76" s="1263"/>
      <c r="EW76" s="1263"/>
      <c r="EX76" s="1263"/>
      <c r="EY76" s="1263"/>
      <c r="EZ76" s="1263"/>
      <c r="FA76" s="1263"/>
      <c r="FB76" s="1263"/>
      <c r="FC76" s="1263"/>
      <c r="FD76" s="1263"/>
      <c r="FE76" s="1263"/>
      <c r="FF76" s="1263"/>
      <c r="FG76" s="1263"/>
      <c r="FH76" s="1263"/>
      <c r="FI76" s="1263"/>
      <c r="FJ76" s="1263"/>
      <c r="FK76" s="1263"/>
      <c r="FL76" s="1263"/>
      <c r="FM76" s="1263"/>
      <c r="FN76" s="1263"/>
      <c r="FO76" s="1263"/>
      <c r="FP76" s="1263"/>
      <c r="FQ76" s="1263"/>
      <c r="FR76" s="1263"/>
      <c r="FS76" s="1263"/>
      <c r="FT76" s="1263"/>
      <c r="FU76" s="1263"/>
      <c r="FV76" s="1263"/>
      <c r="FW76" s="1263"/>
      <c r="FX76" s="1263"/>
      <c r="FY76" s="1263"/>
      <c r="FZ76" s="1263"/>
      <c r="GA76" s="1263"/>
      <c r="GB76" s="1263"/>
      <c r="GC76" s="1263"/>
      <c r="GD76" s="1263"/>
      <c r="GE76" s="1263"/>
      <c r="GF76" s="1263"/>
      <c r="GG76" s="1263"/>
      <c r="GH76" s="1263"/>
      <c r="GI76" s="1263"/>
      <c r="GJ76" s="1263"/>
      <c r="GK76" s="1263"/>
      <c r="GL76" s="1263"/>
      <c r="GM76" s="1263"/>
      <c r="GN76" s="1263"/>
      <c r="GO76" s="1263"/>
      <c r="GP76" s="1263"/>
      <c r="GQ76" s="1263"/>
      <c r="GR76" s="1263"/>
      <c r="GS76" s="1263"/>
      <c r="GT76" s="1263"/>
      <c r="GU76" s="1263"/>
      <c r="GV76" s="1263"/>
      <c r="GW76" s="1263"/>
      <c r="GX76" s="1263"/>
      <c r="GY76" s="1263"/>
      <c r="GZ76" s="1263"/>
      <c r="HA76" s="1263"/>
      <c r="HB76" s="1263"/>
      <c r="HC76" s="1263"/>
      <c r="HD76" s="1263"/>
      <c r="HE76" s="1263"/>
      <c r="HF76" s="1263"/>
      <c r="HG76" s="1263"/>
      <c r="HH76" s="1263"/>
      <c r="HI76" s="1263"/>
      <c r="HJ76" s="1263"/>
      <c r="HK76" s="1263"/>
      <c r="HL76" s="1263"/>
      <c r="HM76" s="1263"/>
      <c r="HN76" s="1263"/>
      <c r="HO76" s="1263"/>
      <c r="HP76" s="1263"/>
      <c r="HQ76" s="1268"/>
      <c r="HR76" s="1268"/>
      <c r="HS76" s="1248"/>
    </row>
    <row r="77" spans="1:257" ht="15.75" x14ac:dyDescent="0.25">
      <c r="A77" s="1950" t="s">
        <v>784</v>
      </c>
      <c r="B77" s="1950"/>
      <c r="C77" s="1950"/>
      <c r="D77" s="1950"/>
      <c r="E77" s="1950"/>
      <c r="F77" s="1950"/>
      <c r="G77" s="1950"/>
      <c r="H77" s="1950"/>
      <c r="I77" s="1950"/>
      <c r="J77" s="1950"/>
    </row>
    <row r="78" spans="1:257" ht="15.75" x14ac:dyDescent="0.25">
      <c r="A78" s="1908" t="s">
        <v>785</v>
      </c>
      <c r="B78" s="1908"/>
      <c r="C78" s="1908"/>
      <c r="D78" s="1908"/>
      <c r="E78" s="1908"/>
      <c r="F78" s="1908"/>
      <c r="G78" s="1908"/>
      <c r="H78" s="1908"/>
      <c r="I78" s="1908"/>
      <c r="J78" s="1908"/>
    </row>
    <row r="79" spans="1:257" s="1253" customFormat="1" ht="34.5" customHeight="1" x14ac:dyDescent="0.2">
      <c r="A79" s="1321" t="s">
        <v>398</v>
      </c>
      <c r="B79" s="1278" t="s">
        <v>669</v>
      </c>
      <c r="C79" s="1899" t="s">
        <v>444</v>
      </c>
      <c r="D79" s="1921">
        <v>2016</v>
      </c>
      <c r="E79" s="1921">
        <v>2018</v>
      </c>
      <c r="F79" s="1907" t="s">
        <v>356</v>
      </c>
      <c r="G79" s="1907" t="s">
        <v>36</v>
      </c>
      <c r="H79" s="1921">
        <v>14370</v>
      </c>
      <c r="I79" s="1921">
        <v>31990</v>
      </c>
      <c r="J79" s="1921">
        <v>17130</v>
      </c>
      <c r="K79" s="1250"/>
      <c r="L79" s="1250"/>
      <c r="M79" s="1250"/>
      <c r="N79" s="1250"/>
      <c r="O79" s="1250"/>
      <c r="P79" s="1250"/>
      <c r="Q79" s="1250"/>
      <c r="R79" s="1250"/>
      <c r="S79" s="1250"/>
      <c r="T79" s="1250"/>
      <c r="U79" s="1250"/>
      <c r="V79" s="1250"/>
      <c r="HP79" s="1254"/>
      <c r="HQ79" s="1250"/>
      <c r="HR79" s="1250"/>
      <c r="HS79" s="1250"/>
      <c r="HT79" s="1250"/>
      <c r="HU79" s="1250"/>
      <c r="HV79" s="1250"/>
      <c r="HW79" s="1250"/>
      <c r="HX79" s="1250"/>
      <c r="HY79" s="1250"/>
      <c r="HZ79" s="1250"/>
      <c r="IA79" s="1250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</row>
    <row r="80" spans="1:257" ht="15" customHeight="1" x14ac:dyDescent="0.2">
      <c r="A80" s="1322" t="s">
        <v>399</v>
      </c>
      <c r="B80" s="1307" t="s">
        <v>670</v>
      </c>
      <c r="C80" s="1899"/>
      <c r="D80" s="1921"/>
      <c r="E80" s="1921"/>
      <c r="F80" s="1907"/>
      <c r="G80" s="1907"/>
      <c r="H80" s="1921"/>
      <c r="I80" s="1921"/>
      <c r="J80" s="1921"/>
    </row>
    <row r="81" spans="1:257" ht="18.75" customHeight="1" x14ac:dyDescent="0.2">
      <c r="A81" s="1305" t="s">
        <v>400</v>
      </c>
      <c r="B81" s="1273" t="s">
        <v>671</v>
      </c>
      <c r="C81" s="1899"/>
      <c r="D81" s="1921"/>
      <c r="E81" s="1921"/>
      <c r="F81" s="1907"/>
      <c r="G81" s="1907"/>
      <c r="H81" s="1323">
        <v>9730</v>
      </c>
      <c r="I81" s="1323">
        <v>34420</v>
      </c>
      <c r="J81" s="1323">
        <v>17630</v>
      </c>
    </row>
    <row r="82" spans="1:257" ht="15" customHeight="1" x14ac:dyDescent="0.2">
      <c r="A82" s="1894" t="s">
        <v>485</v>
      </c>
      <c r="B82" s="1895"/>
      <c r="C82" s="1895"/>
      <c r="D82" s="1895"/>
      <c r="E82" s="1895"/>
      <c r="F82" s="1895"/>
      <c r="G82" s="1896"/>
      <c r="H82" s="1298">
        <f>SUM(H79+H81)</f>
        <v>24100</v>
      </c>
      <c r="I82" s="1298">
        <f>SUM(I79+I81)</f>
        <v>66410</v>
      </c>
      <c r="J82" s="1298">
        <f>SUM(J79+J81)</f>
        <v>34760</v>
      </c>
    </row>
    <row r="83" spans="1:257" ht="15.75" x14ac:dyDescent="0.25">
      <c r="A83" s="1327" t="s">
        <v>786</v>
      </c>
      <c r="B83" s="1328"/>
      <c r="C83" s="1328"/>
      <c r="D83" s="1328"/>
      <c r="E83" s="1328"/>
      <c r="F83" s="1328"/>
      <c r="G83" s="1328"/>
      <c r="H83" s="1328"/>
      <c r="I83" s="1328"/>
      <c r="J83" s="1329"/>
    </row>
    <row r="84" spans="1:257" ht="14.25" customHeight="1" x14ac:dyDescent="0.2">
      <c r="A84" s="1368" t="s">
        <v>401</v>
      </c>
      <c r="B84" s="1307" t="s">
        <v>639</v>
      </c>
      <c r="C84" s="1898" t="s">
        <v>394</v>
      </c>
      <c r="D84" s="1921">
        <v>2016</v>
      </c>
      <c r="E84" s="1921">
        <v>2018</v>
      </c>
      <c r="F84" s="1951" t="s">
        <v>356</v>
      </c>
      <c r="G84" s="1879" t="s">
        <v>36</v>
      </c>
      <c r="H84" s="1308">
        <v>1260</v>
      </c>
      <c r="I84" s="1308">
        <v>0</v>
      </c>
      <c r="J84" s="1308">
        <v>0</v>
      </c>
      <c r="IB84" s="1248"/>
      <c r="IC84" s="1248"/>
      <c r="ID84" s="1248"/>
      <c r="IE84" s="1248"/>
      <c r="IF84" s="1248"/>
      <c r="IG84" s="1248"/>
      <c r="IH84" s="1248"/>
      <c r="II84" s="1248"/>
      <c r="IJ84" s="1248"/>
      <c r="IK84" s="1248"/>
      <c r="IL84" s="1248"/>
      <c r="IM84" s="1248"/>
      <c r="IN84" s="1248"/>
      <c r="IO84" s="1248"/>
      <c r="IP84" s="1248"/>
      <c r="IQ84" s="1248"/>
      <c r="IR84" s="1248"/>
      <c r="IS84" s="1248"/>
      <c r="IT84" s="1248"/>
      <c r="IU84" s="1248"/>
      <c r="IV84" s="1248"/>
      <c r="IW84" s="1248"/>
    </row>
    <row r="85" spans="1:257" ht="77.25" customHeight="1" x14ac:dyDescent="0.2">
      <c r="A85" s="1368" t="s">
        <v>438</v>
      </c>
      <c r="B85" s="1273" t="s">
        <v>620</v>
      </c>
      <c r="C85" s="1898"/>
      <c r="D85" s="1921"/>
      <c r="E85" s="1921"/>
      <c r="F85" s="1952"/>
      <c r="G85" s="1880"/>
      <c r="H85" s="1921">
        <v>15900</v>
      </c>
      <c r="I85" s="1921">
        <v>0</v>
      </c>
      <c r="J85" s="1921">
        <v>0</v>
      </c>
      <c r="IB85" s="1248"/>
      <c r="IC85" s="1248"/>
      <c r="ID85" s="1248"/>
      <c r="IE85" s="1248"/>
      <c r="IF85" s="1248"/>
      <c r="IG85" s="1248"/>
      <c r="IH85" s="1248"/>
      <c r="II85" s="1248"/>
      <c r="IJ85" s="1248"/>
      <c r="IK85" s="1248"/>
      <c r="IL85" s="1248"/>
      <c r="IM85" s="1248"/>
      <c r="IN85" s="1248"/>
      <c r="IO85" s="1248"/>
      <c r="IP85" s="1248"/>
      <c r="IQ85" s="1248"/>
      <c r="IR85" s="1248"/>
      <c r="IS85" s="1248"/>
      <c r="IT85" s="1248"/>
      <c r="IU85" s="1248"/>
      <c r="IV85" s="1248"/>
      <c r="IW85" s="1248"/>
    </row>
    <row r="86" spans="1:257" ht="15" customHeight="1" x14ac:dyDescent="0.2">
      <c r="A86" s="1368" t="s">
        <v>439</v>
      </c>
      <c r="B86" s="1273" t="s">
        <v>499</v>
      </c>
      <c r="C86" s="1898"/>
      <c r="D86" s="1921"/>
      <c r="E86" s="1921"/>
      <c r="F86" s="1952"/>
      <c r="G86" s="1880"/>
      <c r="H86" s="1921"/>
      <c r="I86" s="1921"/>
      <c r="J86" s="1921"/>
      <c r="IB86" s="1248"/>
      <c r="IC86" s="1248"/>
      <c r="ID86" s="1248"/>
      <c r="IE86" s="1248"/>
      <c r="IF86" s="1248"/>
      <c r="IG86" s="1248"/>
      <c r="IH86" s="1248"/>
      <c r="II86" s="1248"/>
      <c r="IJ86" s="1248"/>
      <c r="IK86" s="1248"/>
      <c r="IL86" s="1248"/>
      <c r="IM86" s="1248"/>
      <c r="IN86" s="1248"/>
      <c r="IO86" s="1248"/>
      <c r="IP86" s="1248"/>
      <c r="IQ86" s="1248"/>
      <c r="IR86" s="1248"/>
      <c r="IS86" s="1248"/>
      <c r="IT86" s="1248"/>
      <c r="IU86" s="1248"/>
      <c r="IV86" s="1248"/>
      <c r="IW86" s="1248"/>
    </row>
    <row r="87" spans="1:257" ht="17.25" customHeight="1" x14ac:dyDescent="0.2">
      <c r="A87" s="1324" t="s">
        <v>502</v>
      </c>
      <c r="B87" s="1273" t="s">
        <v>500</v>
      </c>
      <c r="C87" s="1898"/>
      <c r="D87" s="1921"/>
      <c r="E87" s="1921"/>
      <c r="F87" s="1952"/>
      <c r="G87" s="1880"/>
      <c r="H87" s="1921"/>
      <c r="I87" s="1921"/>
      <c r="J87" s="1921"/>
      <c r="IB87" s="1248"/>
      <c r="IC87" s="1248"/>
      <c r="ID87" s="1248"/>
      <c r="IE87" s="1248"/>
      <c r="IF87" s="1248"/>
      <c r="IG87" s="1248"/>
      <c r="IH87" s="1248"/>
      <c r="II87" s="1248"/>
      <c r="IJ87" s="1248"/>
      <c r="IK87" s="1248"/>
      <c r="IL87" s="1248"/>
      <c r="IM87" s="1248"/>
      <c r="IN87" s="1248"/>
      <c r="IO87" s="1248"/>
      <c r="IP87" s="1248"/>
      <c r="IQ87" s="1248"/>
      <c r="IR87" s="1248"/>
      <c r="IS87" s="1248"/>
      <c r="IT87" s="1248"/>
      <c r="IU87" s="1248"/>
      <c r="IV87" s="1248"/>
      <c r="IW87" s="1248"/>
    </row>
    <row r="88" spans="1:257" ht="16.5" customHeight="1" x14ac:dyDescent="0.2">
      <c r="A88" s="1326" t="s">
        <v>503</v>
      </c>
      <c r="B88" s="1273" t="s">
        <v>501</v>
      </c>
      <c r="C88" s="1898"/>
      <c r="D88" s="1921"/>
      <c r="E88" s="1921"/>
      <c r="F88" s="1952"/>
      <c r="G88" s="1880"/>
      <c r="H88" s="1921"/>
      <c r="I88" s="1921"/>
      <c r="J88" s="1921"/>
      <c r="IB88" s="1248"/>
      <c r="IC88" s="1248"/>
      <c r="ID88" s="1248"/>
      <c r="IE88" s="1248"/>
      <c r="IF88" s="1248"/>
      <c r="IG88" s="1248"/>
      <c r="IH88" s="1248"/>
      <c r="II88" s="1248"/>
      <c r="IJ88" s="1248"/>
      <c r="IK88" s="1248"/>
      <c r="IL88" s="1248"/>
      <c r="IM88" s="1248"/>
      <c r="IN88" s="1248"/>
      <c r="IO88" s="1248"/>
      <c r="IP88" s="1248"/>
      <c r="IQ88" s="1248"/>
      <c r="IR88" s="1248"/>
      <c r="IS88" s="1248"/>
      <c r="IT88" s="1248"/>
      <c r="IU88" s="1248"/>
      <c r="IV88" s="1248"/>
      <c r="IW88" s="1248"/>
    </row>
    <row r="89" spans="1:257" ht="19.5" customHeight="1" x14ac:dyDescent="0.2">
      <c r="A89" s="1324" t="s">
        <v>504</v>
      </c>
      <c r="B89" s="1273" t="s">
        <v>613</v>
      </c>
      <c r="C89" s="1898"/>
      <c r="D89" s="1921"/>
      <c r="E89" s="1921"/>
      <c r="F89" s="1952"/>
      <c r="G89" s="1880"/>
      <c r="H89" s="1921"/>
      <c r="I89" s="1921"/>
      <c r="J89" s="1921"/>
      <c r="IB89" s="1248"/>
      <c r="IC89" s="1248"/>
      <c r="ID89" s="1248"/>
      <c r="IE89" s="1248"/>
      <c r="IF89" s="1248"/>
      <c r="IG89" s="1248"/>
      <c r="IH89" s="1248"/>
      <c r="II89" s="1248"/>
      <c r="IJ89" s="1248"/>
      <c r="IK89" s="1248"/>
      <c r="IL89" s="1248"/>
      <c r="IM89" s="1248"/>
      <c r="IN89" s="1248"/>
      <c r="IO89" s="1248"/>
      <c r="IP89" s="1248"/>
      <c r="IQ89" s="1248"/>
      <c r="IR89" s="1248"/>
      <c r="IS89" s="1248"/>
      <c r="IT89" s="1248"/>
      <c r="IU89" s="1248"/>
      <c r="IV89" s="1248"/>
      <c r="IW89" s="1248"/>
    </row>
    <row r="90" spans="1:257" ht="15" customHeight="1" x14ac:dyDescent="0.2">
      <c r="A90" s="1324" t="s">
        <v>505</v>
      </c>
      <c r="B90" s="1273" t="s">
        <v>508</v>
      </c>
      <c r="C90" s="1898"/>
      <c r="D90" s="1921"/>
      <c r="E90" s="1921"/>
      <c r="F90" s="1952"/>
      <c r="G90" s="1880"/>
      <c r="H90" s="1921"/>
      <c r="I90" s="1921"/>
      <c r="J90" s="1921"/>
      <c r="IB90" s="1248"/>
      <c r="IC90" s="1248"/>
      <c r="ID90" s="1248"/>
      <c r="IE90" s="1248"/>
      <c r="IF90" s="1248"/>
      <c r="IG90" s="1248"/>
      <c r="IH90" s="1248"/>
      <c r="II90" s="1248"/>
      <c r="IJ90" s="1248"/>
      <c r="IK90" s="1248"/>
      <c r="IL90" s="1248"/>
      <c r="IM90" s="1248"/>
      <c r="IN90" s="1248"/>
      <c r="IO90" s="1248"/>
      <c r="IP90" s="1248"/>
      <c r="IQ90" s="1248"/>
      <c r="IR90" s="1248"/>
      <c r="IS90" s="1248"/>
      <c r="IT90" s="1248"/>
      <c r="IU90" s="1248"/>
      <c r="IV90" s="1248"/>
      <c r="IW90" s="1248"/>
    </row>
    <row r="91" spans="1:257" ht="15.75" customHeight="1" x14ac:dyDescent="0.2">
      <c r="A91" s="1324" t="s">
        <v>506</v>
      </c>
      <c r="B91" s="1307" t="s">
        <v>640</v>
      </c>
      <c r="C91" s="1898" t="s">
        <v>394</v>
      </c>
      <c r="D91" s="1879">
        <v>2019</v>
      </c>
      <c r="E91" s="1879">
        <v>2021</v>
      </c>
      <c r="F91" s="1957" t="s">
        <v>356</v>
      </c>
      <c r="G91" s="1921" t="s">
        <v>36</v>
      </c>
      <c r="H91" s="1879">
        <v>0</v>
      </c>
      <c r="I91" s="1879">
        <v>0</v>
      </c>
      <c r="J91" s="1879">
        <v>0</v>
      </c>
      <c r="IB91" s="1248"/>
      <c r="IC91" s="1248"/>
      <c r="ID91" s="1248"/>
      <c r="IE91" s="1248"/>
      <c r="IF91" s="1248"/>
      <c r="IG91" s="1248"/>
      <c r="IH91" s="1248"/>
      <c r="II91" s="1248"/>
      <c r="IJ91" s="1248"/>
      <c r="IK91" s="1248"/>
      <c r="IL91" s="1248"/>
      <c r="IM91" s="1248"/>
      <c r="IN91" s="1248"/>
      <c r="IO91" s="1248"/>
      <c r="IP91" s="1248"/>
      <c r="IQ91" s="1248"/>
      <c r="IR91" s="1248"/>
      <c r="IS91" s="1248"/>
      <c r="IT91" s="1248"/>
      <c r="IU91" s="1248"/>
      <c r="IV91" s="1248"/>
      <c r="IW91" s="1248"/>
    </row>
    <row r="92" spans="1:257" ht="19.5" customHeight="1" x14ac:dyDescent="0.2">
      <c r="A92" s="1324" t="s">
        <v>507</v>
      </c>
      <c r="B92" s="1307" t="s">
        <v>641</v>
      </c>
      <c r="C92" s="1898"/>
      <c r="D92" s="1881"/>
      <c r="E92" s="1881"/>
      <c r="F92" s="1957"/>
      <c r="G92" s="1921"/>
      <c r="H92" s="1881"/>
      <c r="I92" s="1881"/>
      <c r="J92" s="1881"/>
      <c r="IB92" s="1248"/>
      <c r="IC92" s="1248"/>
      <c r="ID92" s="1248"/>
      <c r="IE92" s="1248"/>
      <c r="IF92" s="1248"/>
      <c r="IG92" s="1248"/>
      <c r="IH92" s="1248"/>
      <c r="II92" s="1248"/>
      <c r="IJ92" s="1248"/>
      <c r="IK92" s="1248"/>
      <c r="IL92" s="1248"/>
      <c r="IM92" s="1248"/>
      <c r="IN92" s="1248"/>
      <c r="IO92" s="1248"/>
      <c r="IP92" s="1248"/>
      <c r="IQ92" s="1248"/>
      <c r="IR92" s="1248"/>
      <c r="IS92" s="1248"/>
      <c r="IT92" s="1248"/>
      <c r="IU92" s="1248"/>
      <c r="IV92" s="1248"/>
      <c r="IW92" s="1248"/>
    </row>
    <row r="93" spans="1:257" ht="14.25" customHeight="1" x14ac:dyDescent="0.2">
      <c r="A93" s="1894" t="s">
        <v>485</v>
      </c>
      <c r="B93" s="1895"/>
      <c r="C93" s="1895"/>
      <c r="D93" s="1895"/>
      <c r="E93" s="1895"/>
      <c r="F93" s="1895"/>
      <c r="G93" s="1896"/>
      <c r="H93" s="1298">
        <f>SUM(H84:H92)</f>
        <v>17160</v>
      </c>
      <c r="I93" s="1298">
        <f>SUM(I84:I92)</f>
        <v>0</v>
      </c>
      <c r="J93" s="1298">
        <f>SUM(J84:J92)</f>
        <v>0</v>
      </c>
      <c r="IB93" s="1248"/>
      <c r="IC93" s="1248"/>
      <c r="ID93" s="1248"/>
      <c r="IE93" s="1248"/>
      <c r="IF93" s="1248"/>
      <c r="IG93" s="1248"/>
      <c r="IH93" s="1248"/>
      <c r="II93" s="1248"/>
      <c r="IJ93" s="1248"/>
      <c r="IK93" s="1248"/>
      <c r="IL93" s="1248"/>
      <c r="IM93" s="1248"/>
      <c r="IN93" s="1248"/>
      <c r="IO93" s="1248"/>
      <c r="IP93" s="1248"/>
      <c r="IQ93" s="1248"/>
      <c r="IR93" s="1248"/>
      <c r="IS93" s="1248"/>
      <c r="IT93" s="1248"/>
      <c r="IU93" s="1248"/>
      <c r="IV93" s="1248"/>
      <c r="IW93" s="1248"/>
    </row>
    <row r="94" spans="1:257" ht="14.25" customHeight="1" x14ac:dyDescent="0.25">
      <c r="A94" s="1922" t="s">
        <v>816</v>
      </c>
      <c r="B94" s="1955"/>
      <c r="C94" s="1955"/>
      <c r="D94" s="1955"/>
      <c r="E94" s="1955"/>
      <c r="F94" s="1955"/>
      <c r="G94" s="1955"/>
      <c r="H94" s="1955"/>
      <c r="I94" s="1955"/>
      <c r="J94" s="1956"/>
      <c r="IB94" s="1248"/>
      <c r="IC94" s="1248"/>
      <c r="ID94" s="1248"/>
      <c r="IE94" s="1248"/>
      <c r="IF94" s="1248"/>
      <c r="IG94" s="1248"/>
      <c r="IH94" s="1248"/>
      <c r="II94" s="1248"/>
      <c r="IJ94" s="1248"/>
      <c r="IK94" s="1248"/>
      <c r="IL94" s="1248"/>
      <c r="IM94" s="1248"/>
      <c r="IN94" s="1248"/>
      <c r="IO94" s="1248"/>
      <c r="IP94" s="1248"/>
      <c r="IQ94" s="1248"/>
      <c r="IR94" s="1248"/>
      <c r="IS94" s="1248"/>
      <c r="IT94" s="1248"/>
      <c r="IU94" s="1248"/>
      <c r="IV94" s="1248"/>
      <c r="IW94" s="1248"/>
    </row>
    <row r="95" spans="1:257" s="1248" customFormat="1" ht="15.75" customHeight="1" x14ac:dyDescent="0.2">
      <c r="A95" s="1339" t="s">
        <v>402</v>
      </c>
      <c r="B95" s="1307" t="s">
        <v>639</v>
      </c>
      <c r="C95" s="1898" t="s">
        <v>396</v>
      </c>
      <c r="D95" s="1907">
        <v>2016</v>
      </c>
      <c r="E95" s="1907">
        <v>2018</v>
      </c>
      <c r="F95" s="1953" t="s">
        <v>356</v>
      </c>
      <c r="G95" s="1885" t="s">
        <v>403</v>
      </c>
      <c r="H95" s="1330">
        <v>0</v>
      </c>
      <c r="I95" s="1270">
        <v>8000</v>
      </c>
      <c r="J95" s="1309">
        <v>8000</v>
      </c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</row>
    <row r="96" spans="1:257" s="1248" customFormat="1" ht="16.5" customHeight="1" x14ac:dyDescent="0.2">
      <c r="A96" s="1343" t="s">
        <v>440</v>
      </c>
      <c r="B96" s="1273" t="s">
        <v>499</v>
      </c>
      <c r="C96" s="1898"/>
      <c r="D96" s="1907"/>
      <c r="E96" s="1907"/>
      <c r="F96" s="1954"/>
      <c r="G96" s="1886"/>
      <c r="H96" s="1332">
        <v>0</v>
      </c>
      <c r="I96" s="1272">
        <v>8000</v>
      </c>
      <c r="J96" s="1333">
        <v>8000</v>
      </c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</row>
    <row r="97" spans="1:257" s="1248" customFormat="1" ht="81" customHeight="1" x14ac:dyDescent="0.2">
      <c r="A97" s="1339" t="s">
        <v>509</v>
      </c>
      <c r="B97" s="1273" t="s">
        <v>695</v>
      </c>
      <c r="C97" s="1892" t="s">
        <v>396</v>
      </c>
      <c r="D97" s="1885">
        <v>2019</v>
      </c>
      <c r="E97" s="1885">
        <v>2021</v>
      </c>
      <c r="F97" s="1906" t="s">
        <v>356</v>
      </c>
      <c r="G97" s="1907" t="s">
        <v>403</v>
      </c>
      <c r="H97" s="1909">
        <v>0</v>
      </c>
      <c r="I97" s="1882">
        <v>0</v>
      </c>
      <c r="J97" s="1885">
        <v>0</v>
      </c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</row>
    <row r="98" spans="1:257" s="1248" customFormat="1" ht="17.25" customHeight="1" x14ac:dyDescent="0.2">
      <c r="A98" s="1339" t="s">
        <v>510</v>
      </c>
      <c r="B98" s="1273" t="s">
        <v>500</v>
      </c>
      <c r="C98" s="1892"/>
      <c r="D98" s="1886"/>
      <c r="E98" s="1886"/>
      <c r="F98" s="1906"/>
      <c r="G98" s="1907"/>
      <c r="H98" s="1910"/>
      <c r="I98" s="1883"/>
      <c r="J98" s="1886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</row>
    <row r="99" spans="1:257" s="1248" customFormat="1" ht="20.25" customHeight="1" x14ac:dyDescent="0.2">
      <c r="A99" s="1339" t="s">
        <v>511</v>
      </c>
      <c r="B99" s="1273" t="s">
        <v>501</v>
      </c>
      <c r="C99" s="1892"/>
      <c r="D99" s="1886"/>
      <c r="E99" s="1886"/>
      <c r="F99" s="1906"/>
      <c r="G99" s="1907"/>
      <c r="H99" s="1910"/>
      <c r="I99" s="1883"/>
      <c r="J99" s="1886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</row>
    <row r="100" spans="1:257" s="1248" customFormat="1" ht="20.25" customHeight="1" x14ac:dyDescent="0.2">
      <c r="A100" s="1339" t="s">
        <v>512</v>
      </c>
      <c r="B100" s="1273" t="s">
        <v>613</v>
      </c>
      <c r="C100" s="1892"/>
      <c r="D100" s="1886"/>
      <c r="E100" s="1886"/>
      <c r="F100" s="1906"/>
      <c r="G100" s="1907"/>
      <c r="H100" s="1910"/>
      <c r="I100" s="1883"/>
      <c r="J100" s="1886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</row>
    <row r="101" spans="1:257" s="1248" customFormat="1" ht="20.25" customHeight="1" x14ac:dyDescent="0.2">
      <c r="A101" s="1339" t="s">
        <v>513</v>
      </c>
      <c r="B101" s="1273" t="s">
        <v>508</v>
      </c>
      <c r="C101" s="1892"/>
      <c r="D101" s="1886"/>
      <c r="E101" s="1886"/>
      <c r="F101" s="1906"/>
      <c r="G101" s="1907"/>
      <c r="H101" s="1910"/>
      <c r="I101" s="1883"/>
      <c r="J101" s="1886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</row>
    <row r="102" spans="1:257" s="1248" customFormat="1" ht="20.25" customHeight="1" x14ac:dyDescent="0.2">
      <c r="A102" s="1339" t="s">
        <v>514</v>
      </c>
      <c r="B102" s="1307" t="s">
        <v>640</v>
      </c>
      <c r="C102" s="1892"/>
      <c r="D102" s="1886"/>
      <c r="E102" s="1886"/>
      <c r="F102" s="1906"/>
      <c r="G102" s="1907"/>
      <c r="H102" s="1910"/>
      <c r="I102" s="1883"/>
      <c r="J102" s="1886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</row>
    <row r="103" spans="1:257" s="1248" customFormat="1" ht="20.25" customHeight="1" x14ac:dyDescent="0.2">
      <c r="A103" s="1369" t="s">
        <v>515</v>
      </c>
      <c r="B103" s="1307" t="s">
        <v>641</v>
      </c>
      <c r="C103" s="1893"/>
      <c r="D103" s="1887"/>
      <c r="E103" s="1887"/>
      <c r="F103" s="1906"/>
      <c r="G103" s="1907"/>
      <c r="H103" s="1911"/>
      <c r="I103" s="1884"/>
      <c r="J103" s="1887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</row>
    <row r="104" spans="1:257" s="1248" customFormat="1" ht="17.25" customHeight="1" x14ac:dyDescent="0.2">
      <c r="A104" s="1894" t="s">
        <v>485</v>
      </c>
      <c r="B104" s="1895"/>
      <c r="C104" s="1895"/>
      <c r="D104" s="1895"/>
      <c r="E104" s="1895"/>
      <c r="F104" s="1895"/>
      <c r="G104" s="1896"/>
      <c r="H104" s="1319">
        <f>SUM(H95:H103)</f>
        <v>0</v>
      </c>
      <c r="I104" s="1319">
        <f>SUM(I95:I103)</f>
        <v>16000</v>
      </c>
      <c r="J104" s="1319">
        <f>SUM(J95:J103)</f>
        <v>16000</v>
      </c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</row>
    <row r="105" spans="1:257" ht="17.25" customHeight="1" x14ac:dyDescent="0.25">
      <c r="A105" s="1908" t="s">
        <v>599</v>
      </c>
      <c r="B105" s="1908"/>
      <c r="C105" s="1908"/>
      <c r="D105" s="1908"/>
      <c r="E105" s="1908"/>
      <c r="F105" s="1908"/>
      <c r="G105" s="1908"/>
      <c r="H105" s="1908"/>
      <c r="I105" s="1908"/>
      <c r="J105" s="1908"/>
      <c r="HS105" s="1248"/>
    </row>
    <row r="106" spans="1:257" s="1248" customFormat="1" ht="18" customHeight="1" x14ac:dyDescent="0.2">
      <c r="A106" s="1305" t="s">
        <v>435</v>
      </c>
      <c r="B106" s="1307" t="s">
        <v>642</v>
      </c>
      <c r="C106" s="1882" t="s">
        <v>397</v>
      </c>
      <c r="D106" s="1885">
        <v>2016</v>
      </c>
      <c r="E106" s="1885">
        <v>2018</v>
      </c>
      <c r="F106" s="1885" t="s">
        <v>356</v>
      </c>
      <c r="G106" s="1912" t="s">
        <v>36</v>
      </c>
      <c r="H106" s="1912">
        <v>10000</v>
      </c>
      <c r="I106" s="1912">
        <v>2430</v>
      </c>
      <c r="J106" s="1912">
        <v>500</v>
      </c>
      <c r="HS106" s="1250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</row>
    <row r="107" spans="1:257" s="1248" customFormat="1" ht="18.75" customHeight="1" x14ac:dyDescent="0.2">
      <c r="A107" s="1304" t="s">
        <v>436</v>
      </c>
      <c r="B107" s="1307" t="s">
        <v>643</v>
      </c>
      <c r="C107" s="1883"/>
      <c r="D107" s="1886"/>
      <c r="E107" s="1886"/>
      <c r="F107" s="1886"/>
      <c r="G107" s="1913"/>
      <c r="H107" s="1913"/>
      <c r="I107" s="1913"/>
      <c r="J107" s="1913"/>
      <c r="HS107" s="1250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</row>
    <row r="108" spans="1:257" s="1248" customFormat="1" ht="15" customHeight="1" x14ac:dyDescent="0.2">
      <c r="A108" s="1334" t="s">
        <v>437</v>
      </c>
      <c r="B108" s="1335" t="s">
        <v>641</v>
      </c>
      <c r="C108" s="1883"/>
      <c r="D108" s="1886"/>
      <c r="E108" s="1886"/>
      <c r="F108" s="1886"/>
      <c r="G108" s="1913"/>
      <c r="H108" s="1913"/>
      <c r="I108" s="1913"/>
      <c r="J108" s="1913"/>
      <c r="HS108" s="1250"/>
      <c r="IB108"/>
      <c r="IC108" s="1255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</row>
    <row r="109" spans="1:257" s="1248" customFormat="1" ht="15" customHeight="1" x14ac:dyDescent="0.2">
      <c r="A109" s="1305" t="s">
        <v>516</v>
      </c>
      <c r="B109" s="1276" t="s">
        <v>479</v>
      </c>
      <c r="C109" s="1883"/>
      <c r="D109" s="1886"/>
      <c r="E109" s="1886"/>
      <c r="F109" s="1886"/>
      <c r="G109" s="1913"/>
      <c r="H109" s="1913"/>
      <c r="I109" s="1913"/>
      <c r="J109" s="1913"/>
      <c r="HS109" s="1250"/>
      <c r="IB109"/>
      <c r="IC109" s="1255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</row>
    <row r="110" spans="1:257" s="1248" customFormat="1" ht="15" customHeight="1" x14ac:dyDescent="0.2">
      <c r="A110" s="1305" t="s">
        <v>517</v>
      </c>
      <c r="B110" s="1273" t="s">
        <v>519</v>
      </c>
      <c r="C110" s="1883"/>
      <c r="D110" s="1886"/>
      <c r="E110" s="1886"/>
      <c r="F110" s="1886"/>
      <c r="G110" s="1913"/>
      <c r="H110" s="1913"/>
      <c r="I110" s="1913"/>
      <c r="J110" s="1913"/>
      <c r="HS110" s="1250"/>
      <c r="IB110"/>
      <c r="IC110" s="1255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</row>
    <row r="111" spans="1:257" s="1248" customFormat="1" ht="16.5" customHeight="1" x14ac:dyDescent="0.2">
      <c r="A111" s="1305" t="s">
        <v>518</v>
      </c>
      <c r="B111" s="1273" t="s">
        <v>614</v>
      </c>
      <c r="C111" s="1883"/>
      <c r="D111" s="1886"/>
      <c r="E111" s="1886"/>
      <c r="F111" s="1886"/>
      <c r="G111" s="1913"/>
      <c r="H111" s="1913"/>
      <c r="I111" s="1913"/>
      <c r="J111" s="1913"/>
      <c r="HS111" s="1250"/>
      <c r="IB111"/>
      <c r="IC111" s="1255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</row>
    <row r="112" spans="1:257" s="1248" customFormat="1" ht="36" customHeight="1" x14ac:dyDescent="0.2">
      <c r="A112" s="1305" t="s">
        <v>705</v>
      </c>
      <c r="B112" s="1361" t="s">
        <v>762</v>
      </c>
      <c r="C112" s="1883"/>
      <c r="D112" s="1886"/>
      <c r="E112" s="1886"/>
      <c r="F112" s="1886"/>
      <c r="G112" s="1913"/>
      <c r="H112" s="1913"/>
      <c r="I112" s="1913"/>
      <c r="J112" s="1913"/>
      <c r="HS112" s="1250"/>
      <c r="IB112"/>
      <c r="IC112" s="1255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</row>
    <row r="113" spans="1:257" s="1248" customFormat="1" ht="18.75" customHeight="1" x14ac:dyDescent="0.2">
      <c r="A113" s="1305" t="s">
        <v>706</v>
      </c>
      <c r="B113" s="1273" t="s">
        <v>763</v>
      </c>
      <c r="C113" s="1883"/>
      <c r="D113" s="1886"/>
      <c r="E113" s="1886"/>
      <c r="F113" s="1886"/>
      <c r="G113" s="1913"/>
      <c r="H113" s="1913"/>
      <c r="I113" s="1913"/>
      <c r="J113" s="1913"/>
      <c r="HS113" s="1250"/>
      <c r="IB113"/>
      <c r="IC113" s="1255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</row>
    <row r="114" spans="1:257" s="1248" customFormat="1" ht="36" customHeight="1" x14ac:dyDescent="0.2">
      <c r="A114" s="1305" t="s">
        <v>707</v>
      </c>
      <c r="B114" s="1273" t="s">
        <v>764</v>
      </c>
      <c r="C114" s="1884"/>
      <c r="D114" s="1887"/>
      <c r="E114" s="1887"/>
      <c r="F114" s="1887"/>
      <c r="G114" s="1914"/>
      <c r="H114" s="1914"/>
      <c r="I114" s="1914"/>
      <c r="J114" s="1914"/>
      <c r="HS114" s="1250"/>
      <c r="IB114"/>
      <c r="IC114" s="1255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</row>
    <row r="115" spans="1:257" s="1248" customFormat="1" ht="13.5" customHeight="1" x14ac:dyDescent="0.2">
      <c r="A115" s="1894" t="s">
        <v>485</v>
      </c>
      <c r="B115" s="1895"/>
      <c r="C115" s="1895"/>
      <c r="D115" s="1895"/>
      <c r="E115" s="1895"/>
      <c r="F115" s="1895"/>
      <c r="G115" s="1896"/>
      <c r="H115" s="1319">
        <f>SUM(H106:H111)</f>
        <v>10000</v>
      </c>
      <c r="I115" s="1319">
        <f>SUM(I106:I111)</f>
        <v>2430</v>
      </c>
      <c r="J115" s="1319">
        <f>SUM(J106:J111)</f>
        <v>500</v>
      </c>
      <c r="HS115" s="1250"/>
      <c r="IB115"/>
      <c r="IC115" s="125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</row>
    <row r="116" spans="1:257" ht="14.25" customHeight="1" x14ac:dyDescent="0.25">
      <c r="A116" s="1888" t="s">
        <v>594</v>
      </c>
      <c r="B116" s="1889"/>
      <c r="C116" s="1889"/>
      <c r="D116" s="1889"/>
      <c r="E116" s="1889"/>
      <c r="F116" s="1889"/>
      <c r="G116" s="1890"/>
      <c r="H116" s="1310">
        <f>SUM(H79+H84+H95+H106)</f>
        <v>25630</v>
      </c>
      <c r="I116" s="1310">
        <f>SUM(I79+I84+I95+I106)</f>
        <v>42420</v>
      </c>
      <c r="J116" s="1310">
        <f>SUM(J79+J84+J95+J106)</f>
        <v>25630</v>
      </c>
    </row>
    <row r="117" spans="1:257" ht="15.75" x14ac:dyDescent="0.25">
      <c r="A117" s="1888" t="s">
        <v>595</v>
      </c>
      <c r="B117" s="1889"/>
      <c r="C117" s="1889"/>
      <c r="D117" s="1889"/>
      <c r="E117" s="1889"/>
      <c r="F117" s="1889"/>
      <c r="G117" s="1890"/>
      <c r="H117" s="1310">
        <f>SUM(H81+H85+H96+H109)</f>
        <v>25630</v>
      </c>
      <c r="I117" s="1310">
        <f>SUM(I81+I85+I96+I109)</f>
        <v>42420</v>
      </c>
      <c r="J117" s="1310">
        <f>SUM(J81+J85+J96+J109)</f>
        <v>25630</v>
      </c>
    </row>
    <row r="118" spans="1:257" ht="15.75" x14ac:dyDescent="0.25">
      <c r="A118" s="1903" t="s">
        <v>487</v>
      </c>
      <c r="B118" s="1904"/>
      <c r="C118" s="1904"/>
      <c r="D118" s="1904"/>
      <c r="E118" s="1904"/>
      <c r="F118" s="1904"/>
      <c r="G118" s="1905"/>
      <c r="H118" s="1311">
        <f>H116+H117</f>
        <v>51260</v>
      </c>
      <c r="I118" s="1311">
        <f>I116+I117</f>
        <v>84840</v>
      </c>
      <c r="J118" s="1311">
        <f>J116+J117</f>
        <v>51260</v>
      </c>
    </row>
    <row r="119" spans="1:257" ht="15.75" x14ac:dyDescent="0.25">
      <c r="A119" s="1928" t="s">
        <v>787</v>
      </c>
      <c r="B119" s="1929"/>
      <c r="C119" s="1929"/>
      <c r="D119" s="1929"/>
      <c r="E119" s="1929"/>
      <c r="F119" s="1929"/>
      <c r="G119" s="1929"/>
      <c r="H119" s="1929"/>
      <c r="I119" s="1929"/>
      <c r="J119" s="1930"/>
    </row>
    <row r="120" spans="1:257" ht="15.75" x14ac:dyDescent="0.25">
      <c r="A120" s="1908" t="s">
        <v>812</v>
      </c>
      <c r="B120" s="1908"/>
      <c r="C120" s="1908"/>
      <c r="D120" s="1908"/>
      <c r="E120" s="1908"/>
      <c r="F120" s="1908"/>
      <c r="G120" s="1908"/>
      <c r="H120" s="1908"/>
      <c r="I120" s="1908"/>
      <c r="J120" s="1908"/>
      <c r="IB120" s="1251"/>
      <c r="IC120" s="1251"/>
      <c r="ID120" s="1251"/>
      <c r="IE120" s="1251"/>
      <c r="IF120" s="1251"/>
      <c r="IG120" s="1251"/>
      <c r="IH120" s="1251"/>
      <c r="II120" s="1251"/>
      <c r="IJ120" s="1251"/>
      <c r="IK120" s="1251"/>
      <c r="IL120" s="1251"/>
      <c r="IM120" s="1251"/>
      <c r="IN120" s="1251"/>
      <c r="IO120" s="1251"/>
      <c r="IP120" s="1251"/>
      <c r="IQ120" s="1251"/>
      <c r="IR120" s="1251"/>
      <c r="IS120" s="1251"/>
      <c r="IT120" s="1251"/>
      <c r="IU120" s="1251"/>
      <c r="IV120" s="1251"/>
      <c r="IW120" s="1251"/>
    </row>
    <row r="121" spans="1:257" s="1251" customFormat="1" ht="19.5" customHeight="1" x14ac:dyDescent="0.25">
      <c r="A121" s="1322" t="s">
        <v>404</v>
      </c>
      <c r="B121" s="1273" t="s">
        <v>698</v>
      </c>
      <c r="C121" s="1882" t="s">
        <v>444</v>
      </c>
      <c r="D121" s="1921">
        <v>2016</v>
      </c>
      <c r="E121" s="1921">
        <v>2018</v>
      </c>
      <c r="F121" s="1885" t="s">
        <v>356</v>
      </c>
      <c r="G121" s="1921" t="s">
        <v>36</v>
      </c>
      <c r="H121" s="1921">
        <v>7100</v>
      </c>
      <c r="I121" s="1921">
        <v>19530</v>
      </c>
      <c r="J121" s="1921">
        <v>9400</v>
      </c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</row>
    <row r="122" spans="1:257" ht="33" customHeight="1" x14ac:dyDescent="0.2">
      <c r="A122" s="1331" t="s">
        <v>405</v>
      </c>
      <c r="B122" s="1273" t="s">
        <v>672</v>
      </c>
      <c r="C122" s="1883"/>
      <c r="D122" s="1921"/>
      <c r="E122" s="1921"/>
      <c r="F122" s="1886"/>
      <c r="G122" s="1921"/>
      <c r="H122" s="1921"/>
      <c r="I122" s="1921"/>
      <c r="J122" s="1921"/>
    </row>
    <row r="123" spans="1:257" ht="33" customHeight="1" x14ac:dyDescent="0.25">
      <c r="A123" s="1322" t="s">
        <v>406</v>
      </c>
      <c r="B123" s="1273" t="s">
        <v>621</v>
      </c>
      <c r="C123" s="1884"/>
      <c r="D123" s="1921"/>
      <c r="E123" s="1921"/>
      <c r="F123" s="1887"/>
      <c r="G123" s="1921"/>
      <c r="H123" s="1337">
        <v>12840</v>
      </c>
      <c r="I123" s="1338">
        <v>17760</v>
      </c>
      <c r="J123" s="1338">
        <v>5700</v>
      </c>
    </row>
    <row r="124" spans="1:257" ht="17.25" customHeight="1" x14ac:dyDescent="0.2">
      <c r="A124" s="1894" t="s">
        <v>485</v>
      </c>
      <c r="B124" s="1895"/>
      <c r="C124" s="1895"/>
      <c r="D124" s="1895"/>
      <c r="E124" s="1895"/>
      <c r="F124" s="1895"/>
      <c r="G124" s="1896"/>
      <c r="H124" s="1319">
        <f>H121+H123</f>
        <v>19940</v>
      </c>
      <c r="I124" s="1319">
        <f>I121+I123</f>
        <v>37290</v>
      </c>
      <c r="J124" s="1319">
        <f>J121+J123</f>
        <v>15100</v>
      </c>
    </row>
    <row r="125" spans="1:257" ht="15.75" x14ac:dyDescent="0.25">
      <c r="A125" s="1299" t="s">
        <v>813</v>
      </c>
      <c r="B125" s="1288"/>
      <c r="C125" s="1288"/>
      <c r="D125" s="1288"/>
      <c r="E125" s="1288"/>
      <c r="F125" s="1288"/>
      <c r="G125" s="1288"/>
      <c r="H125" s="1289"/>
      <c r="I125" s="1288"/>
      <c r="J125" s="1290"/>
      <c r="IB125" s="1248"/>
      <c r="IC125" s="1248"/>
      <c r="ID125" s="1248"/>
      <c r="IE125" s="1248"/>
      <c r="IF125" s="1248"/>
      <c r="IG125" s="1248"/>
      <c r="IH125" s="1248"/>
      <c r="II125" s="1248"/>
      <c r="IJ125" s="1248"/>
      <c r="IK125" s="1248"/>
      <c r="IL125" s="1248"/>
      <c r="IM125" s="1248"/>
      <c r="IN125" s="1248"/>
      <c r="IO125" s="1248"/>
      <c r="IP125" s="1248"/>
      <c r="IQ125" s="1248"/>
      <c r="IR125" s="1248"/>
      <c r="IS125" s="1248"/>
      <c r="IT125" s="1248"/>
      <c r="IU125" s="1248"/>
      <c r="IV125" s="1248"/>
      <c r="IW125" s="1248"/>
    </row>
    <row r="126" spans="1:257" s="1248" customFormat="1" ht="15" customHeight="1" x14ac:dyDescent="0.2">
      <c r="A126" s="1339" t="s">
        <v>407</v>
      </c>
      <c r="B126" s="1307" t="s">
        <v>644</v>
      </c>
      <c r="C126" s="1898" t="s">
        <v>394</v>
      </c>
      <c r="D126" s="1921">
        <v>2016</v>
      </c>
      <c r="E126" s="1921">
        <v>2018</v>
      </c>
      <c r="F126" s="1907" t="s">
        <v>356</v>
      </c>
      <c r="G126" s="1958" t="s">
        <v>36</v>
      </c>
      <c r="H126" s="1297">
        <v>1200</v>
      </c>
      <c r="I126" s="1297">
        <v>0</v>
      </c>
      <c r="J126" s="1297">
        <v>0</v>
      </c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</row>
    <row r="127" spans="1:257" s="1248" customFormat="1" ht="15" customHeight="1" x14ac:dyDescent="0.2">
      <c r="A127" s="1339" t="s">
        <v>441</v>
      </c>
      <c r="B127" s="1273" t="s">
        <v>585</v>
      </c>
      <c r="C127" s="1898"/>
      <c r="D127" s="1921"/>
      <c r="E127" s="1921"/>
      <c r="F127" s="1907"/>
      <c r="G127" s="1958"/>
      <c r="H127" s="1958">
        <v>5460</v>
      </c>
      <c r="I127" s="1958">
        <v>0</v>
      </c>
      <c r="J127" s="1958">
        <v>0</v>
      </c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</row>
    <row r="128" spans="1:257" s="1248" customFormat="1" ht="18" customHeight="1" x14ac:dyDescent="0.2">
      <c r="A128" s="1339" t="s">
        <v>442</v>
      </c>
      <c r="B128" s="1273" t="s">
        <v>586</v>
      </c>
      <c r="C128" s="1898"/>
      <c r="D128" s="1921"/>
      <c r="E128" s="1921"/>
      <c r="F128" s="1907"/>
      <c r="G128" s="1958"/>
      <c r="H128" s="1958"/>
      <c r="I128" s="1958"/>
      <c r="J128" s="195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</row>
    <row r="129" spans="1:257" s="1248" customFormat="1" ht="18.75" customHeight="1" x14ac:dyDescent="0.2">
      <c r="A129" s="1324" t="s">
        <v>520</v>
      </c>
      <c r="B129" s="1273" t="s">
        <v>622</v>
      </c>
      <c r="C129" s="1898"/>
      <c r="D129" s="1921"/>
      <c r="E129" s="1921"/>
      <c r="F129" s="1907"/>
      <c r="G129" s="1958"/>
      <c r="H129" s="1958"/>
      <c r="I129" s="1958"/>
      <c r="J129" s="1958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</row>
    <row r="130" spans="1:257" s="1248" customFormat="1" ht="18" customHeight="1" x14ac:dyDescent="0.2">
      <c r="A130" s="1324" t="s">
        <v>521</v>
      </c>
      <c r="B130" s="1273" t="s">
        <v>587</v>
      </c>
      <c r="C130" s="1898"/>
      <c r="D130" s="1921"/>
      <c r="E130" s="1921"/>
      <c r="F130" s="1907"/>
      <c r="G130" s="1958"/>
      <c r="H130" s="1958"/>
      <c r="I130" s="1958"/>
      <c r="J130" s="1958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</row>
    <row r="131" spans="1:257" s="1248" customFormat="1" ht="17.25" customHeight="1" x14ac:dyDescent="0.2">
      <c r="A131" s="1894" t="s">
        <v>485</v>
      </c>
      <c r="B131" s="1895"/>
      <c r="C131" s="1895"/>
      <c r="D131" s="1895"/>
      <c r="E131" s="1895"/>
      <c r="F131" s="1895"/>
      <c r="G131" s="1896"/>
      <c r="H131" s="1319">
        <f>SUM(H126:H130)</f>
        <v>6660</v>
      </c>
      <c r="I131" s="1319">
        <f>SUM(I126:I130)</f>
        <v>0</v>
      </c>
      <c r="J131" s="1319">
        <f>SUM(J126:J130)</f>
        <v>0</v>
      </c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</row>
    <row r="132" spans="1:257" s="1248" customFormat="1" ht="15.75" customHeight="1" x14ac:dyDescent="0.25">
      <c r="A132" s="1299" t="s">
        <v>814</v>
      </c>
      <c r="B132" s="1288"/>
      <c r="C132" s="1288"/>
      <c r="D132" s="1288"/>
      <c r="E132" s="1288"/>
      <c r="F132" s="1288"/>
      <c r="G132" s="1288"/>
      <c r="H132" s="1289"/>
      <c r="I132" s="1288"/>
      <c r="J132" s="1290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</row>
    <row r="133" spans="1:257" ht="18" customHeight="1" x14ac:dyDescent="0.2">
      <c r="A133" s="1340" t="s">
        <v>408</v>
      </c>
      <c r="B133" s="1307" t="s">
        <v>644</v>
      </c>
      <c r="C133" s="1898" t="s">
        <v>396</v>
      </c>
      <c r="D133" s="1882">
        <v>2016</v>
      </c>
      <c r="E133" s="1882">
        <v>2018</v>
      </c>
      <c r="F133" s="1899" t="s">
        <v>356</v>
      </c>
      <c r="G133" s="1899" t="s">
        <v>36</v>
      </c>
      <c r="H133" s="1270">
        <v>0</v>
      </c>
      <c r="I133" s="1270">
        <v>8400</v>
      </c>
      <c r="J133" s="1309">
        <v>8400</v>
      </c>
    </row>
    <row r="134" spans="1:257" ht="15" customHeight="1" x14ac:dyDescent="0.2">
      <c r="A134" s="1340" t="s">
        <v>443</v>
      </c>
      <c r="B134" s="1273" t="s">
        <v>587</v>
      </c>
      <c r="C134" s="1898"/>
      <c r="D134" s="1883"/>
      <c r="E134" s="1883"/>
      <c r="F134" s="1899"/>
      <c r="G134" s="1899"/>
      <c r="H134" s="1882">
        <v>0</v>
      </c>
      <c r="I134" s="1882">
        <v>12600</v>
      </c>
      <c r="J134" s="1885">
        <v>12600</v>
      </c>
    </row>
    <row r="135" spans="1:257" ht="16.5" customHeight="1" x14ac:dyDescent="0.2">
      <c r="A135" s="1340" t="s">
        <v>522</v>
      </c>
      <c r="B135" s="1273" t="s">
        <v>622</v>
      </c>
      <c r="C135" s="1898"/>
      <c r="D135" s="1884"/>
      <c r="E135" s="1884"/>
      <c r="F135" s="1899"/>
      <c r="G135" s="1899"/>
      <c r="H135" s="1884"/>
      <c r="I135" s="1884"/>
      <c r="J135" s="1887"/>
    </row>
    <row r="136" spans="1:257" ht="16.5" customHeight="1" x14ac:dyDescent="0.2">
      <c r="A136" s="1894" t="s">
        <v>485</v>
      </c>
      <c r="B136" s="1895"/>
      <c r="C136" s="1895"/>
      <c r="D136" s="1895"/>
      <c r="E136" s="1895"/>
      <c r="F136" s="1895"/>
      <c r="G136" s="1896"/>
      <c r="H136" s="1319">
        <f>SUM(H133:H135)</f>
        <v>0</v>
      </c>
      <c r="I136" s="1319">
        <f>SUM(I133:I135)</f>
        <v>21000</v>
      </c>
      <c r="J136" s="1319">
        <f>SUM(J133:J135)</f>
        <v>21000</v>
      </c>
    </row>
    <row r="137" spans="1:257" ht="15.75" customHeight="1" x14ac:dyDescent="0.25">
      <c r="A137" s="1922" t="s">
        <v>600</v>
      </c>
      <c r="B137" s="1923"/>
      <c r="C137" s="1923"/>
      <c r="D137" s="1923"/>
      <c r="E137" s="1923"/>
      <c r="F137" s="1923"/>
      <c r="G137" s="1923"/>
      <c r="H137" s="1923"/>
      <c r="I137" s="1923"/>
      <c r="J137" s="1924"/>
    </row>
    <row r="138" spans="1:257" ht="15" customHeight="1" x14ac:dyDescent="0.2">
      <c r="A138" s="1325" t="s">
        <v>467</v>
      </c>
      <c r="B138" s="1307" t="s">
        <v>673</v>
      </c>
      <c r="C138" s="1882" t="s">
        <v>397</v>
      </c>
      <c r="D138" s="1885">
        <v>2016</v>
      </c>
      <c r="E138" s="1885">
        <v>2018</v>
      </c>
      <c r="F138" s="1885" t="s">
        <v>356</v>
      </c>
      <c r="G138" s="1931" t="s">
        <v>36</v>
      </c>
      <c r="H138" s="1912">
        <v>10000</v>
      </c>
      <c r="I138" s="1912">
        <v>2430</v>
      </c>
      <c r="J138" s="1912">
        <v>500</v>
      </c>
    </row>
    <row r="139" spans="1:257" ht="15.75" x14ac:dyDescent="0.2">
      <c r="A139" s="1305" t="s">
        <v>468</v>
      </c>
      <c r="B139" s="1307" t="s">
        <v>765</v>
      </c>
      <c r="C139" s="1883"/>
      <c r="D139" s="1886"/>
      <c r="E139" s="1886"/>
      <c r="F139" s="1886"/>
      <c r="G139" s="1932"/>
      <c r="H139" s="1913"/>
      <c r="I139" s="1913"/>
      <c r="J139" s="1913"/>
    </row>
    <row r="140" spans="1:257" ht="15.75" x14ac:dyDescent="0.2">
      <c r="A140" s="1306" t="s">
        <v>469</v>
      </c>
      <c r="B140" s="1335" t="s">
        <v>645</v>
      </c>
      <c r="C140" s="1883"/>
      <c r="D140" s="1886"/>
      <c r="E140" s="1886"/>
      <c r="F140" s="1886"/>
      <c r="G140" s="1932"/>
      <c r="H140" s="1913"/>
      <c r="I140" s="1913"/>
      <c r="J140" s="1913"/>
    </row>
    <row r="141" spans="1:257" ht="31.5" x14ac:dyDescent="0.2">
      <c r="A141" s="1304" t="s">
        <v>523</v>
      </c>
      <c r="B141" s="1273" t="s">
        <v>766</v>
      </c>
      <c r="C141" s="1883"/>
      <c r="D141" s="1886"/>
      <c r="E141" s="1886"/>
      <c r="F141" s="1886"/>
      <c r="G141" s="1932"/>
      <c r="H141" s="1913"/>
      <c r="I141" s="1913"/>
      <c r="J141" s="1913"/>
    </row>
    <row r="142" spans="1:257" ht="15.75" x14ac:dyDescent="0.2">
      <c r="A142" s="1304" t="s">
        <v>708</v>
      </c>
      <c r="B142" s="1273" t="s">
        <v>767</v>
      </c>
      <c r="C142" s="1884"/>
      <c r="D142" s="1887"/>
      <c r="E142" s="1887"/>
      <c r="F142" s="1887"/>
      <c r="G142" s="1933"/>
      <c r="H142" s="1914"/>
      <c r="I142" s="1914"/>
      <c r="J142" s="1914"/>
    </row>
    <row r="143" spans="1:257" ht="15.75" x14ac:dyDescent="0.2">
      <c r="A143" s="1894" t="s">
        <v>485</v>
      </c>
      <c r="B143" s="1895"/>
      <c r="C143" s="1895"/>
      <c r="D143" s="1895"/>
      <c r="E143" s="1895"/>
      <c r="F143" s="1895"/>
      <c r="G143" s="1896"/>
      <c r="H143" s="1319">
        <f>SUM(H138:H141)</f>
        <v>10000</v>
      </c>
      <c r="I143" s="1319">
        <f>SUM(I138:I141)</f>
        <v>2430</v>
      </c>
      <c r="J143" s="1319">
        <f>SUM(J138:J141)</f>
        <v>500</v>
      </c>
    </row>
    <row r="144" spans="1:257" ht="16.5" customHeight="1" x14ac:dyDescent="0.25">
      <c r="A144" s="1888" t="s">
        <v>594</v>
      </c>
      <c r="B144" s="1889"/>
      <c r="C144" s="1889"/>
      <c r="D144" s="1889"/>
      <c r="E144" s="1889"/>
      <c r="F144" s="1889"/>
      <c r="G144" s="1890"/>
      <c r="H144" s="1341">
        <f>SUM(H121+H126+H133+H138)</f>
        <v>18300</v>
      </c>
      <c r="I144" s="1341">
        <f>SUM(I121+I126+I133+I138)</f>
        <v>30360</v>
      </c>
      <c r="J144" s="1341">
        <f>SUM(J121+J126+J133+J138)</f>
        <v>18300</v>
      </c>
    </row>
    <row r="145" spans="1:10" ht="16.5" customHeight="1" x14ac:dyDescent="0.25">
      <c r="A145" s="1888" t="s">
        <v>595</v>
      </c>
      <c r="B145" s="1889"/>
      <c r="C145" s="1889"/>
      <c r="D145" s="1889"/>
      <c r="E145" s="1889"/>
      <c r="F145" s="1889"/>
      <c r="G145" s="1890"/>
      <c r="H145" s="1310">
        <f>SUM(H123+H127+H134+H141)</f>
        <v>18300</v>
      </c>
      <c r="I145" s="1310">
        <f>SUM(I123+I127+I134+I141)</f>
        <v>30360</v>
      </c>
      <c r="J145" s="1310">
        <f>SUM(J123+J127+J134+J141)</f>
        <v>18300</v>
      </c>
    </row>
    <row r="146" spans="1:10" ht="16.5" customHeight="1" x14ac:dyDescent="0.25">
      <c r="A146" s="1903" t="s">
        <v>487</v>
      </c>
      <c r="B146" s="1904"/>
      <c r="C146" s="1904"/>
      <c r="D146" s="1904"/>
      <c r="E146" s="1904"/>
      <c r="F146" s="1904"/>
      <c r="G146" s="1905"/>
      <c r="H146" s="1311">
        <f>H144+H145</f>
        <v>36600</v>
      </c>
      <c r="I146" s="1311">
        <f>I144+I145</f>
        <v>60720</v>
      </c>
      <c r="J146" s="1311">
        <f>J144+J145</f>
        <v>36600</v>
      </c>
    </row>
    <row r="147" spans="1:10" ht="15.75" x14ac:dyDescent="0.25">
      <c r="A147" s="1284" t="s">
        <v>788</v>
      </c>
      <c r="B147" s="1285"/>
      <c r="C147" s="1285"/>
      <c r="D147" s="1285"/>
      <c r="E147" s="1285"/>
      <c r="F147" s="1285"/>
      <c r="G147" s="1285"/>
      <c r="H147" s="1285"/>
      <c r="I147" s="1285"/>
      <c r="J147" s="1286"/>
    </row>
    <row r="148" spans="1:10" ht="14.25" customHeight="1" x14ac:dyDescent="0.25">
      <c r="A148" s="1299" t="s">
        <v>789</v>
      </c>
      <c r="B148" s="1288"/>
      <c r="C148" s="1288"/>
      <c r="D148" s="1288"/>
      <c r="E148" s="1288"/>
      <c r="F148" s="1288"/>
      <c r="G148" s="1288"/>
      <c r="H148" s="1289"/>
      <c r="I148" s="1288"/>
      <c r="J148" s="1290"/>
    </row>
    <row r="149" spans="1:10" ht="38.25" customHeight="1" x14ac:dyDescent="0.2">
      <c r="A149" s="1302" t="s">
        <v>370</v>
      </c>
      <c r="B149" s="1273" t="s">
        <v>674</v>
      </c>
      <c r="C149" s="1898" t="s">
        <v>444</v>
      </c>
      <c r="D149" s="1898">
        <v>2016</v>
      </c>
      <c r="E149" s="1898">
        <v>2018</v>
      </c>
      <c r="F149" s="1898" t="s">
        <v>356</v>
      </c>
      <c r="G149" s="1898" t="s">
        <v>36</v>
      </c>
      <c r="H149" s="1882">
        <v>22950</v>
      </c>
      <c r="I149" s="1882">
        <v>52110</v>
      </c>
      <c r="J149" s="1882">
        <v>32450</v>
      </c>
    </row>
    <row r="150" spans="1:10" ht="30" customHeight="1" x14ac:dyDescent="0.25">
      <c r="A150" s="1302" t="s">
        <v>371</v>
      </c>
      <c r="B150" s="1256" t="s">
        <v>675</v>
      </c>
      <c r="C150" s="1898"/>
      <c r="D150" s="1898"/>
      <c r="E150" s="1898"/>
      <c r="F150" s="1898"/>
      <c r="G150" s="1898"/>
      <c r="H150" s="1884"/>
      <c r="I150" s="1884"/>
      <c r="J150" s="1884"/>
    </row>
    <row r="151" spans="1:10" ht="65.25" customHeight="1" x14ac:dyDescent="0.2">
      <c r="A151" s="1300" t="s">
        <v>372</v>
      </c>
      <c r="B151" s="1273" t="s">
        <v>676</v>
      </c>
      <c r="C151" s="1898"/>
      <c r="D151" s="1898"/>
      <c r="E151" s="1898"/>
      <c r="F151" s="1898"/>
      <c r="G151" s="1898"/>
      <c r="H151" s="1371">
        <v>32950</v>
      </c>
      <c r="I151" s="1270">
        <v>54540</v>
      </c>
      <c r="J151" s="1270">
        <v>32950</v>
      </c>
    </row>
    <row r="152" spans="1:10" ht="15.75" x14ac:dyDescent="0.2">
      <c r="A152" s="1894" t="s">
        <v>485</v>
      </c>
      <c r="B152" s="1895"/>
      <c r="C152" s="1895"/>
      <c r="D152" s="1895"/>
      <c r="E152" s="1895"/>
      <c r="F152" s="1895"/>
      <c r="G152" s="1896"/>
      <c r="H152" s="1319">
        <f>H149+H151</f>
        <v>55900</v>
      </c>
      <c r="I152" s="1319">
        <f>I149+I151</f>
        <v>106650</v>
      </c>
      <c r="J152" s="1319">
        <f>J149+J151</f>
        <v>65400</v>
      </c>
    </row>
    <row r="153" spans="1:10" ht="18" customHeight="1" x14ac:dyDescent="0.25">
      <c r="A153" s="1922" t="s">
        <v>601</v>
      </c>
      <c r="B153" s="1923"/>
      <c r="C153" s="1923"/>
      <c r="D153" s="1923"/>
      <c r="E153" s="1923"/>
      <c r="F153" s="1923"/>
      <c r="G153" s="1923"/>
      <c r="H153" s="1923"/>
      <c r="I153" s="1923"/>
      <c r="J153" s="1924"/>
    </row>
    <row r="154" spans="1:10" ht="15.75" customHeight="1" x14ac:dyDescent="0.2">
      <c r="A154" s="1304" t="s">
        <v>470</v>
      </c>
      <c r="B154" s="1300" t="s">
        <v>646</v>
      </c>
      <c r="C154" s="1882" t="s">
        <v>397</v>
      </c>
      <c r="D154" s="1885">
        <v>2016</v>
      </c>
      <c r="E154" s="1879">
        <v>2018</v>
      </c>
      <c r="F154" s="1882" t="s">
        <v>356</v>
      </c>
      <c r="G154" s="1885" t="s">
        <v>36</v>
      </c>
      <c r="H154" s="1882">
        <v>10000</v>
      </c>
      <c r="I154" s="1882">
        <v>2430</v>
      </c>
      <c r="J154" s="1882">
        <v>500</v>
      </c>
    </row>
    <row r="155" spans="1:10" ht="31.5" customHeight="1" x14ac:dyDescent="0.2">
      <c r="A155" s="1367" t="s">
        <v>471</v>
      </c>
      <c r="B155" s="1300" t="s">
        <v>768</v>
      </c>
      <c r="C155" s="1883"/>
      <c r="D155" s="1886"/>
      <c r="E155" s="1880"/>
      <c r="F155" s="1883"/>
      <c r="G155" s="1886"/>
      <c r="H155" s="1883"/>
      <c r="I155" s="1883"/>
      <c r="J155" s="1883"/>
    </row>
    <row r="156" spans="1:10" ht="50.25" customHeight="1" x14ac:dyDescent="0.2">
      <c r="A156" s="1367" t="s">
        <v>471</v>
      </c>
      <c r="B156" s="1300" t="s">
        <v>769</v>
      </c>
      <c r="C156" s="1884"/>
      <c r="D156" s="1887"/>
      <c r="E156" s="1881"/>
      <c r="F156" s="1884"/>
      <c r="G156" s="1887"/>
      <c r="H156" s="1884"/>
      <c r="I156" s="1884"/>
      <c r="J156" s="1884"/>
    </row>
    <row r="157" spans="1:10" ht="15.75" x14ac:dyDescent="0.2">
      <c r="A157" s="1894" t="s">
        <v>485</v>
      </c>
      <c r="B157" s="1895"/>
      <c r="C157" s="1895"/>
      <c r="D157" s="1895"/>
      <c r="E157" s="1895"/>
      <c r="F157" s="1895"/>
      <c r="G157" s="1896"/>
      <c r="H157" s="1319">
        <f>H154</f>
        <v>10000</v>
      </c>
      <c r="I157" s="1319">
        <f>I154</f>
        <v>2430</v>
      </c>
      <c r="J157" s="1319">
        <f>J154</f>
        <v>500</v>
      </c>
    </row>
    <row r="158" spans="1:10" ht="17.25" customHeight="1" x14ac:dyDescent="0.25">
      <c r="A158" s="1888" t="s">
        <v>594</v>
      </c>
      <c r="B158" s="1889"/>
      <c r="C158" s="1889"/>
      <c r="D158" s="1889"/>
      <c r="E158" s="1889"/>
      <c r="F158" s="1889"/>
      <c r="G158" s="1890"/>
      <c r="H158" s="1310">
        <f>SUM(H149+H154)</f>
        <v>32950</v>
      </c>
      <c r="I158" s="1310">
        <f>SUM(I149+I154)</f>
        <v>54540</v>
      </c>
      <c r="J158" s="1310">
        <f>SUM(J149+J154)</f>
        <v>32950</v>
      </c>
    </row>
    <row r="159" spans="1:10" ht="17.25" customHeight="1" x14ac:dyDescent="0.25">
      <c r="A159" s="1888" t="s">
        <v>595</v>
      </c>
      <c r="B159" s="1889"/>
      <c r="C159" s="1889"/>
      <c r="D159" s="1889"/>
      <c r="E159" s="1889"/>
      <c r="F159" s="1889"/>
      <c r="G159" s="1889"/>
      <c r="H159" s="1310">
        <f>SUM(H151)</f>
        <v>32950</v>
      </c>
      <c r="I159" s="1310">
        <f>SUM(I151)</f>
        <v>54540</v>
      </c>
      <c r="J159" s="1310">
        <f>SUM(J151)</f>
        <v>32950</v>
      </c>
    </row>
    <row r="160" spans="1:10" ht="15.75" x14ac:dyDescent="0.25">
      <c r="A160" s="1903" t="s">
        <v>487</v>
      </c>
      <c r="B160" s="1904"/>
      <c r="C160" s="1904"/>
      <c r="D160" s="1904"/>
      <c r="E160" s="1904"/>
      <c r="F160" s="1904"/>
      <c r="G160" s="1905"/>
      <c r="H160" s="1311">
        <f>H158+H159</f>
        <v>65900</v>
      </c>
      <c r="I160" s="1311">
        <f>I158+I159</f>
        <v>109080</v>
      </c>
      <c r="J160" s="1311">
        <f>J158+J159</f>
        <v>65900</v>
      </c>
    </row>
    <row r="161" spans="1:10" ht="16.5" customHeight="1" x14ac:dyDescent="0.25">
      <c r="A161" s="1284" t="s">
        <v>815</v>
      </c>
      <c r="B161" s="1285"/>
      <c r="C161" s="1285"/>
      <c r="D161" s="1285"/>
      <c r="E161" s="1285"/>
      <c r="F161" s="1285"/>
      <c r="G161" s="1285"/>
      <c r="H161" s="1285"/>
      <c r="I161" s="1285"/>
      <c r="J161" s="1286"/>
    </row>
    <row r="162" spans="1:10" ht="19.5" customHeight="1" x14ac:dyDescent="0.25">
      <c r="A162" s="1299" t="s">
        <v>790</v>
      </c>
      <c r="B162" s="1288"/>
      <c r="C162" s="1288"/>
      <c r="D162" s="1288"/>
      <c r="E162" s="1288"/>
      <c r="F162" s="1288"/>
      <c r="G162" s="1288"/>
      <c r="H162" s="1289"/>
      <c r="I162" s="1288"/>
      <c r="J162" s="1290"/>
    </row>
    <row r="163" spans="1:10" ht="34.5" customHeight="1" x14ac:dyDescent="0.2">
      <c r="A163" s="1302" t="s">
        <v>373</v>
      </c>
      <c r="B163" s="1273" t="s">
        <v>677</v>
      </c>
      <c r="C163" s="1891" t="s">
        <v>444</v>
      </c>
      <c r="D163" s="1898">
        <v>2016</v>
      </c>
      <c r="E163" s="1898">
        <v>2018</v>
      </c>
      <c r="F163" s="1891" t="s">
        <v>356</v>
      </c>
      <c r="G163" s="1891" t="s">
        <v>36</v>
      </c>
      <c r="H163" s="1899">
        <v>17580</v>
      </c>
      <c r="I163" s="1899">
        <v>30930</v>
      </c>
      <c r="J163" s="1899">
        <v>28790</v>
      </c>
    </row>
    <row r="164" spans="1:10" ht="31.5" x14ac:dyDescent="0.2">
      <c r="A164" s="1302" t="s">
        <v>374</v>
      </c>
      <c r="B164" s="1273" t="s">
        <v>678</v>
      </c>
      <c r="C164" s="1892"/>
      <c r="D164" s="1898"/>
      <c r="E164" s="1898"/>
      <c r="F164" s="1892"/>
      <c r="G164" s="1892"/>
      <c r="H164" s="1899"/>
      <c r="I164" s="1899"/>
      <c r="J164" s="1899"/>
    </row>
    <row r="165" spans="1:10" ht="15.75" x14ac:dyDescent="0.2">
      <c r="A165" s="1300" t="s">
        <v>375</v>
      </c>
      <c r="B165" s="1273" t="s">
        <v>524</v>
      </c>
      <c r="C165" s="1892"/>
      <c r="D165" s="1898"/>
      <c r="E165" s="1898"/>
      <c r="F165" s="1892"/>
      <c r="G165" s="1892"/>
      <c r="H165" s="1370">
        <v>28240</v>
      </c>
      <c r="I165" s="1271">
        <v>37480</v>
      </c>
      <c r="J165" s="1271">
        <v>29290</v>
      </c>
    </row>
    <row r="166" spans="1:10" ht="16.5" customHeight="1" x14ac:dyDescent="0.2">
      <c r="A166" s="1894" t="s">
        <v>485</v>
      </c>
      <c r="B166" s="1895"/>
      <c r="C166" s="1895"/>
      <c r="D166" s="1895"/>
      <c r="E166" s="1895"/>
      <c r="F166" s="1895"/>
      <c r="G166" s="1896"/>
      <c r="H166" s="1319">
        <f>H163+H165</f>
        <v>45820</v>
      </c>
      <c r="I166" s="1319">
        <f>I163+I165</f>
        <v>68410</v>
      </c>
      <c r="J166" s="1319">
        <f>J163+J165</f>
        <v>58080</v>
      </c>
    </row>
    <row r="167" spans="1:10" ht="15" customHeight="1" x14ac:dyDescent="0.25">
      <c r="A167" s="1294" t="s">
        <v>791</v>
      </c>
      <c r="B167" s="1299"/>
      <c r="C167" s="1288"/>
      <c r="D167" s="1288"/>
      <c r="E167" s="1288"/>
      <c r="F167" s="1288"/>
      <c r="G167" s="1288"/>
      <c r="H167" s="1289"/>
      <c r="I167" s="1288"/>
      <c r="J167" s="1290"/>
    </row>
    <row r="168" spans="1:10" ht="17.25" customHeight="1" x14ac:dyDescent="0.2">
      <c r="A168" s="1300" t="s">
        <v>376</v>
      </c>
      <c r="B168" s="1302" t="s">
        <v>647</v>
      </c>
      <c r="C168" s="1891" t="s">
        <v>429</v>
      </c>
      <c r="D168" s="1898">
        <v>2016</v>
      </c>
      <c r="E168" s="1898">
        <v>2018</v>
      </c>
      <c r="F168" s="1891" t="s">
        <v>356</v>
      </c>
      <c r="G168" s="1891" t="s">
        <v>36</v>
      </c>
      <c r="H168" s="1292">
        <v>1760</v>
      </c>
      <c r="I168" s="1292">
        <v>0</v>
      </c>
      <c r="J168" s="1292">
        <v>0</v>
      </c>
    </row>
    <row r="169" spans="1:10" ht="31.5" customHeight="1" x14ac:dyDescent="0.2">
      <c r="A169" s="1302" t="s">
        <v>445</v>
      </c>
      <c r="B169" s="1276" t="s">
        <v>525</v>
      </c>
      <c r="C169" s="1892"/>
      <c r="D169" s="1898"/>
      <c r="E169" s="1898"/>
      <c r="F169" s="1892"/>
      <c r="G169" s="1892"/>
      <c r="H169" s="1292">
        <v>1100</v>
      </c>
      <c r="I169" s="1292">
        <v>0</v>
      </c>
      <c r="J169" s="1292">
        <v>0</v>
      </c>
    </row>
    <row r="170" spans="1:10" ht="17.25" customHeight="1" x14ac:dyDescent="0.2">
      <c r="A170" s="1894" t="s">
        <v>485</v>
      </c>
      <c r="B170" s="1895"/>
      <c r="C170" s="1895"/>
      <c r="D170" s="1895"/>
      <c r="E170" s="1895"/>
      <c r="F170" s="1895"/>
      <c r="G170" s="1896"/>
      <c r="H170" s="1319">
        <f>H168+H169</f>
        <v>2860</v>
      </c>
      <c r="I170" s="1319">
        <f>I168+I169</f>
        <v>0</v>
      </c>
      <c r="J170" s="1319">
        <f>J168+J169</f>
        <v>0</v>
      </c>
    </row>
    <row r="171" spans="1:10" ht="17.25" customHeight="1" x14ac:dyDescent="0.25">
      <c r="A171" s="1299" t="s">
        <v>792</v>
      </c>
      <c r="B171" s="1288"/>
      <c r="C171" s="1288"/>
      <c r="D171" s="1288"/>
      <c r="E171" s="1288"/>
      <c r="F171" s="1288"/>
      <c r="G171" s="1288"/>
      <c r="H171" s="1289"/>
      <c r="I171" s="1288"/>
      <c r="J171" s="1290"/>
    </row>
    <row r="172" spans="1:10" ht="17.25" customHeight="1" x14ac:dyDescent="0.2">
      <c r="A172" s="1302" t="s">
        <v>377</v>
      </c>
      <c r="B172" s="1302" t="s">
        <v>647</v>
      </c>
      <c r="C172" s="1898" t="s">
        <v>396</v>
      </c>
      <c r="D172" s="1898">
        <v>2016</v>
      </c>
      <c r="E172" s="1898">
        <v>2018</v>
      </c>
      <c r="F172" s="1891" t="s">
        <v>356</v>
      </c>
      <c r="G172" s="1891" t="s">
        <v>36</v>
      </c>
      <c r="H172" s="1270">
        <v>0</v>
      </c>
      <c r="I172" s="1292">
        <v>15120</v>
      </c>
      <c r="J172" s="1292">
        <v>0</v>
      </c>
    </row>
    <row r="173" spans="1:10" ht="17.25" customHeight="1" x14ac:dyDescent="0.2">
      <c r="A173" s="1302" t="s">
        <v>446</v>
      </c>
      <c r="B173" s="1276" t="s">
        <v>525</v>
      </c>
      <c r="C173" s="1898"/>
      <c r="D173" s="1898"/>
      <c r="E173" s="1898"/>
      <c r="F173" s="1892"/>
      <c r="G173" s="1892"/>
      <c r="H173" s="1272">
        <v>0</v>
      </c>
      <c r="I173" s="1303">
        <v>11000</v>
      </c>
      <c r="J173" s="1303">
        <v>0</v>
      </c>
    </row>
    <row r="174" spans="1:10" ht="15.75" customHeight="1" x14ac:dyDescent="0.2">
      <c r="A174" s="1894" t="s">
        <v>485</v>
      </c>
      <c r="B174" s="1895"/>
      <c r="C174" s="1895"/>
      <c r="D174" s="1895"/>
      <c r="E174" s="1895"/>
      <c r="F174" s="1895"/>
      <c r="G174" s="1896"/>
      <c r="H174" s="1319">
        <f>H172+H173</f>
        <v>0</v>
      </c>
      <c r="I174" s="1319">
        <f>I172+I173</f>
        <v>26120</v>
      </c>
      <c r="J174" s="1319">
        <f>J172+J173</f>
        <v>0</v>
      </c>
    </row>
    <row r="175" spans="1:10" ht="15.75" customHeight="1" x14ac:dyDescent="0.25">
      <c r="A175" s="1922" t="s">
        <v>602</v>
      </c>
      <c r="B175" s="1923"/>
      <c r="C175" s="1923"/>
      <c r="D175" s="1923"/>
      <c r="E175" s="1923"/>
      <c r="F175" s="1923"/>
      <c r="G175" s="1923"/>
      <c r="H175" s="1923"/>
      <c r="I175" s="1923"/>
      <c r="J175" s="1924"/>
    </row>
    <row r="176" spans="1:10" ht="18" customHeight="1" x14ac:dyDescent="0.2">
      <c r="A176" s="1304" t="s">
        <v>378</v>
      </c>
      <c r="B176" s="1300" t="s">
        <v>648</v>
      </c>
      <c r="C176" s="1882" t="s">
        <v>397</v>
      </c>
      <c r="D176" s="1885">
        <v>2016</v>
      </c>
      <c r="E176" s="1879">
        <v>2018</v>
      </c>
      <c r="F176" s="1882" t="s">
        <v>356</v>
      </c>
      <c r="G176" s="1885" t="s">
        <v>36</v>
      </c>
      <c r="H176" s="1882">
        <v>10000</v>
      </c>
      <c r="I176" s="1882">
        <v>2430</v>
      </c>
      <c r="J176" s="1882">
        <v>500</v>
      </c>
    </row>
    <row r="177" spans="1:10" ht="15.75" x14ac:dyDescent="0.2">
      <c r="A177" s="1281" t="s">
        <v>472</v>
      </c>
      <c r="B177" s="1302" t="s">
        <v>710</v>
      </c>
      <c r="C177" s="1883"/>
      <c r="D177" s="1886"/>
      <c r="E177" s="1880"/>
      <c r="F177" s="1883"/>
      <c r="G177" s="1886"/>
      <c r="H177" s="1883"/>
      <c r="I177" s="1883"/>
      <c r="J177" s="1883"/>
    </row>
    <row r="178" spans="1:10" ht="30.75" customHeight="1" x14ac:dyDescent="0.2">
      <c r="A178" s="1281" t="s">
        <v>473</v>
      </c>
      <c r="B178" s="1302" t="s">
        <v>711</v>
      </c>
      <c r="C178" s="1883"/>
      <c r="D178" s="1886"/>
      <c r="E178" s="1880"/>
      <c r="F178" s="1883"/>
      <c r="G178" s="1886"/>
      <c r="H178" s="1883"/>
      <c r="I178" s="1883"/>
      <c r="J178" s="1883"/>
    </row>
    <row r="179" spans="1:10" ht="15.75" customHeight="1" x14ac:dyDescent="0.2">
      <c r="A179" s="1304" t="s">
        <v>528</v>
      </c>
      <c r="B179" s="1276" t="s">
        <v>526</v>
      </c>
      <c r="C179" s="1883"/>
      <c r="D179" s="1886"/>
      <c r="E179" s="1880"/>
      <c r="F179" s="1883"/>
      <c r="G179" s="1886"/>
      <c r="H179" s="1883"/>
      <c r="I179" s="1883"/>
      <c r="J179" s="1883"/>
    </row>
    <row r="180" spans="1:10" ht="15.75" customHeight="1" x14ac:dyDescent="0.2">
      <c r="A180" s="1304" t="s">
        <v>529</v>
      </c>
      <c r="B180" s="1273" t="s">
        <v>589</v>
      </c>
      <c r="C180" s="1883"/>
      <c r="D180" s="1886"/>
      <c r="E180" s="1880"/>
      <c r="F180" s="1883"/>
      <c r="G180" s="1886"/>
      <c r="H180" s="1883"/>
      <c r="I180" s="1883"/>
      <c r="J180" s="1883"/>
    </row>
    <row r="181" spans="1:10" ht="15.75" x14ac:dyDescent="0.2">
      <c r="A181" s="1304" t="s">
        <v>530</v>
      </c>
      <c r="B181" s="1273" t="s">
        <v>527</v>
      </c>
      <c r="C181" s="1883"/>
      <c r="D181" s="1886"/>
      <c r="E181" s="1880"/>
      <c r="F181" s="1883"/>
      <c r="G181" s="1886"/>
      <c r="H181" s="1883"/>
      <c r="I181" s="1883"/>
      <c r="J181" s="1883"/>
    </row>
    <row r="182" spans="1:10" ht="15.75" x14ac:dyDescent="0.2">
      <c r="A182" s="1304" t="s">
        <v>712</v>
      </c>
      <c r="B182" s="1273" t="s">
        <v>709</v>
      </c>
      <c r="C182" s="1883"/>
      <c r="D182" s="1886"/>
      <c r="E182" s="1880"/>
      <c r="F182" s="1883"/>
      <c r="G182" s="1886"/>
      <c r="H182" s="1883"/>
      <c r="I182" s="1883"/>
      <c r="J182" s="1883"/>
    </row>
    <row r="183" spans="1:10" ht="15.75" x14ac:dyDescent="0.2">
      <c r="A183" s="1304" t="s">
        <v>713</v>
      </c>
      <c r="B183" s="1273" t="s">
        <v>770</v>
      </c>
      <c r="C183" s="1883"/>
      <c r="D183" s="1886"/>
      <c r="E183" s="1880"/>
      <c r="F183" s="1883"/>
      <c r="G183" s="1886"/>
      <c r="H183" s="1883"/>
      <c r="I183" s="1883"/>
      <c r="J183" s="1883"/>
    </row>
    <row r="184" spans="1:10" ht="18.75" customHeight="1" x14ac:dyDescent="0.2">
      <c r="A184" s="1304" t="s">
        <v>714</v>
      </c>
      <c r="B184" s="1273" t="s">
        <v>771</v>
      </c>
      <c r="C184" s="1883"/>
      <c r="D184" s="1886"/>
      <c r="E184" s="1880"/>
      <c r="F184" s="1883"/>
      <c r="G184" s="1886"/>
      <c r="H184" s="1883"/>
      <c r="I184" s="1883"/>
      <c r="J184" s="1883"/>
    </row>
    <row r="185" spans="1:10" ht="20.25" customHeight="1" x14ac:dyDescent="0.2">
      <c r="A185" s="1304" t="s">
        <v>715</v>
      </c>
      <c r="B185" s="1273" t="s">
        <v>811</v>
      </c>
      <c r="C185" s="1883"/>
      <c r="D185" s="1886"/>
      <c r="E185" s="1880"/>
      <c r="F185" s="1883"/>
      <c r="G185" s="1886"/>
      <c r="H185" s="1883"/>
      <c r="I185" s="1883"/>
      <c r="J185" s="1883"/>
    </row>
    <row r="186" spans="1:10" ht="16.5" customHeight="1" x14ac:dyDescent="0.2">
      <c r="A186" s="1304" t="s">
        <v>716</v>
      </c>
      <c r="B186" s="1273" t="s">
        <v>772</v>
      </c>
      <c r="C186" s="1884"/>
      <c r="D186" s="1887"/>
      <c r="E186" s="1881"/>
      <c r="F186" s="1884"/>
      <c r="G186" s="1887"/>
      <c r="H186" s="1884"/>
      <c r="I186" s="1884"/>
      <c r="J186" s="1884"/>
    </row>
    <row r="187" spans="1:10" ht="15.75" x14ac:dyDescent="0.2">
      <c r="A187" s="1894" t="s">
        <v>485</v>
      </c>
      <c r="B187" s="1895"/>
      <c r="C187" s="1895"/>
      <c r="D187" s="1895"/>
      <c r="E187" s="1895"/>
      <c r="F187" s="1895"/>
      <c r="G187" s="1896"/>
      <c r="H187" s="1319">
        <f>SUM(H176:H181)</f>
        <v>10000</v>
      </c>
      <c r="I187" s="1319">
        <f>SUM(I176:I181)</f>
        <v>2430</v>
      </c>
      <c r="J187" s="1319">
        <f>SUM(J176:J181)</f>
        <v>500</v>
      </c>
    </row>
    <row r="188" spans="1:10" ht="15" customHeight="1" x14ac:dyDescent="0.25">
      <c r="A188" s="1888" t="s">
        <v>594</v>
      </c>
      <c r="B188" s="1889"/>
      <c r="C188" s="1889"/>
      <c r="D188" s="1889"/>
      <c r="E188" s="1889"/>
      <c r="F188" s="1889"/>
      <c r="G188" s="1890"/>
      <c r="H188" s="1310">
        <f>SUM(H163+H168+H172+H176)</f>
        <v>29340</v>
      </c>
      <c r="I188" s="1310">
        <f>SUM(I163+I168+I172+I176)</f>
        <v>48480</v>
      </c>
      <c r="J188" s="1310">
        <f>SUM(J163+J168+J172+J176)</f>
        <v>29290</v>
      </c>
    </row>
    <row r="189" spans="1:10" ht="15" customHeight="1" x14ac:dyDescent="0.25">
      <c r="A189" s="1888" t="s">
        <v>595</v>
      </c>
      <c r="B189" s="1889"/>
      <c r="C189" s="1889"/>
      <c r="D189" s="1889"/>
      <c r="E189" s="1889"/>
      <c r="F189" s="1889"/>
      <c r="G189" s="1889"/>
      <c r="H189" s="1310">
        <f>SUM(H165+H169+H173+H179)</f>
        <v>29340</v>
      </c>
      <c r="I189" s="1310">
        <f>SUM(I165+I169+I173+I179)</f>
        <v>48480</v>
      </c>
      <c r="J189" s="1310">
        <f>SUM(J165+J169+J173+J179)</f>
        <v>29290</v>
      </c>
    </row>
    <row r="190" spans="1:10" ht="12.75" customHeight="1" x14ac:dyDescent="0.25">
      <c r="A190" s="1903" t="s">
        <v>487</v>
      </c>
      <c r="B190" s="1904"/>
      <c r="C190" s="1904"/>
      <c r="D190" s="1904"/>
      <c r="E190" s="1904"/>
      <c r="F190" s="1904"/>
      <c r="G190" s="1905"/>
      <c r="H190" s="1311">
        <f>H188+H189</f>
        <v>58680</v>
      </c>
      <c r="I190" s="1311">
        <f>I188+I189</f>
        <v>96960</v>
      </c>
      <c r="J190" s="1311">
        <f>J188+J189</f>
        <v>58580</v>
      </c>
    </row>
    <row r="191" spans="1:10" ht="17.25" customHeight="1" x14ac:dyDescent="0.25">
      <c r="A191" s="1928" t="s">
        <v>793</v>
      </c>
      <c r="B191" s="1929"/>
      <c r="C191" s="1929"/>
      <c r="D191" s="1929"/>
      <c r="E191" s="1929"/>
      <c r="F191" s="1929"/>
      <c r="G191" s="1929"/>
      <c r="H191" s="1929"/>
      <c r="I191" s="1929"/>
      <c r="J191" s="1930"/>
    </row>
    <row r="192" spans="1:10" ht="15.75" customHeight="1" x14ac:dyDescent="0.25">
      <c r="A192" s="1922" t="s">
        <v>794</v>
      </c>
      <c r="B192" s="1923"/>
      <c r="C192" s="1923"/>
      <c r="D192" s="1923"/>
      <c r="E192" s="1923"/>
      <c r="F192" s="1923"/>
      <c r="G192" s="1923"/>
      <c r="H192" s="1923"/>
      <c r="I192" s="1923"/>
      <c r="J192" s="1924"/>
    </row>
    <row r="193" spans="1:10" ht="33.75" customHeight="1" x14ac:dyDescent="0.2">
      <c r="A193" s="1342" t="s">
        <v>409</v>
      </c>
      <c r="B193" s="1273" t="s">
        <v>679</v>
      </c>
      <c r="C193" s="1899" t="s">
        <v>444</v>
      </c>
      <c r="D193" s="1921">
        <v>2016</v>
      </c>
      <c r="E193" s="1921">
        <v>2018</v>
      </c>
      <c r="F193" s="1907" t="s">
        <v>356</v>
      </c>
      <c r="G193" s="1921" t="s">
        <v>36</v>
      </c>
      <c r="H193" s="1921">
        <v>7620</v>
      </c>
      <c r="I193" s="1921">
        <v>21150</v>
      </c>
      <c r="J193" s="1921">
        <v>17800</v>
      </c>
    </row>
    <row r="194" spans="1:10" ht="48.75" customHeight="1" x14ac:dyDescent="0.2">
      <c r="A194" s="1343" t="s">
        <v>410</v>
      </c>
      <c r="B194" s="1344" t="s">
        <v>680</v>
      </c>
      <c r="C194" s="1899"/>
      <c r="D194" s="1921"/>
      <c r="E194" s="1921"/>
      <c r="F194" s="1907"/>
      <c r="G194" s="1921"/>
      <c r="H194" s="1921"/>
      <c r="I194" s="1921"/>
      <c r="J194" s="1921"/>
    </row>
    <row r="195" spans="1:10" ht="33" customHeight="1" x14ac:dyDescent="0.2">
      <c r="A195" s="1342" t="s">
        <v>411</v>
      </c>
      <c r="B195" s="1273" t="s">
        <v>629</v>
      </c>
      <c r="C195" s="1899"/>
      <c r="D195" s="1921"/>
      <c r="E195" s="1921"/>
      <c r="F195" s="1907"/>
      <c r="G195" s="1921"/>
      <c r="H195" s="1921">
        <v>17300</v>
      </c>
      <c r="I195" s="1921">
        <v>19500</v>
      </c>
      <c r="J195" s="1921">
        <v>18300</v>
      </c>
    </row>
    <row r="196" spans="1:10" ht="17.25" customHeight="1" x14ac:dyDescent="0.2">
      <c r="A196" s="1324" t="s">
        <v>531</v>
      </c>
      <c r="B196" s="1273" t="s">
        <v>630</v>
      </c>
      <c r="C196" s="1899"/>
      <c r="D196" s="1921"/>
      <c r="E196" s="1921"/>
      <c r="F196" s="1907"/>
      <c r="G196" s="1921"/>
      <c r="H196" s="1921"/>
      <c r="I196" s="1921"/>
      <c r="J196" s="1921"/>
    </row>
    <row r="197" spans="1:10" ht="15.75" customHeight="1" x14ac:dyDescent="0.2">
      <c r="A197" s="1894" t="s">
        <v>485</v>
      </c>
      <c r="B197" s="1895"/>
      <c r="C197" s="1895"/>
      <c r="D197" s="1895"/>
      <c r="E197" s="1895"/>
      <c r="F197" s="1895"/>
      <c r="G197" s="1896"/>
      <c r="H197" s="1319">
        <f>SUM(H193+H195)</f>
        <v>24920</v>
      </c>
      <c r="I197" s="1319">
        <f>SUM(I193+I195)</f>
        <v>40650</v>
      </c>
      <c r="J197" s="1319">
        <f>SUM(J193+J195)</f>
        <v>36100</v>
      </c>
    </row>
    <row r="198" spans="1:10" ht="15.75" customHeight="1" x14ac:dyDescent="0.25">
      <c r="A198" s="1294" t="s">
        <v>795</v>
      </c>
      <c r="B198" s="1299"/>
      <c r="C198" s="1288"/>
      <c r="D198" s="1288"/>
      <c r="E198" s="1288"/>
      <c r="F198" s="1288"/>
      <c r="G198" s="1288"/>
      <c r="H198" s="1289"/>
      <c r="I198" s="1288"/>
      <c r="J198" s="1290"/>
    </row>
    <row r="199" spans="1:10" ht="15.75" customHeight="1" x14ac:dyDescent="0.2">
      <c r="A199" s="1322" t="s">
        <v>412</v>
      </c>
      <c r="B199" s="1344" t="s">
        <v>649</v>
      </c>
      <c r="C199" s="1899" t="s">
        <v>429</v>
      </c>
      <c r="D199" s="1897">
        <v>2016</v>
      </c>
      <c r="E199" s="1897">
        <v>2018</v>
      </c>
      <c r="F199" s="1897" t="s">
        <v>356</v>
      </c>
      <c r="G199" s="1897" t="s">
        <v>36</v>
      </c>
      <c r="H199" s="1261">
        <v>680</v>
      </c>
      <c r="I199" s="1261">
        <v>0</v>
      </c>
      <c r="J199" s="1261">
        <v>0</v>
      </c>
    </row>
    <row r="200" spans="1:10" ht="15" customHeight="1" x14ac:dyDescent="0.2">
      <c r="A200" s="1322" t="s">
        <v>447</v>
      </c>
      <c r="B200" s="1273" t="s">
        <v>532</v>
      </c>
      <c r="C200" s="1899"/>
      <c r="D200" s="1897"/>
      <c r="E200" s="1897"/>
      <c r="F200" s="1897"/>
      <c r="G200" s="1897"/>
      <c r="H200" s="1925">
        <v>1000</v>
      </c>
      <c r="I200" s="1925">
        <v>0</v>
      </c>
      <c r="J200" s="1925">
        <v>0</v>
      </c>
    </row>
    <row r="201" spans="1:10" ht="15" customHeight="1" x14ac:dyDescent="0.2">
      <c r="A201" s="1345" t="s">
        <v>448</v>
      </c>
      <c r="B201" s="1273" t="s">
        <v>533</v>
      </c>
      <c r="C201" s="1899"/>
      <c r="D201" s="1897"/>
      <c r="E201" s="1897"/>
      <c r="F201" s="1897"/>
      <c r="G201" s="1897"/>
      <c r="H201" s="1927"/>
      <c r="I201" s="1927"/>
      <c r="J201" s="1927"/>
    </row>
    <row r="202" spans="1:10" ht="15.75" customHeight="1" x14ac:dyDescent="0.2">
      <c r="A202" s="1894" t="s">
        <v>485</v>
      </c>
      <c r="B202" s="1895"/>
      <c r="C202" s="1895"/>
      <c r="D202" s="1895"/>
      <c r="E202" s="1895"/>
      <c r="F202" s="1895"/>
      <c r="G202" s="1896"/>
      <c r="H202" s="1319">
        <f>SUM(H199:H201)</f>
        <v>1680</v>
      </c>
      <c r="I202" s="1319">
        <f>SUM(I199:I201)</f>
        <v>0</v>
      </c>
      <c r="J202" s="1319">
        <f>SUM(J199:J201)</f>
        <v>0</v>
      </c>
    </row>
    <row r="203" spans="1:10" ht="18.75" customHeight="1" x14ac:dyDescent="0.25">
      <c r="A203" s="1299" t="s">
        <v>796</v>
      </c>
      <c r="B203" s="1288"/>
      <c r="C203" s="1288"/>
      <c r="D203" s="1288"/>
      <c r="E203" s="1288"/>
      <c r="F203" s="1288"/>
      <c r="G203" s="1288"/>
      <c r="H203" s="1289"/>
      <c r="I203" s="1288"/>
      <c r="J203" s="1290"/>
    </row>
    <row r="204" spans="1:10" ht="16.5" customHeight="1" x14ac:dyDescent="0.2">
      <c r="A204" s="1322" t="s">
        <v>449</v>
      </c>
      <c r="B204" s="1344" t="s">
        <v>649</v>
      </c>
      <c r="C204" s="1882" t="s">
        <v>396</v>
      </c>
      <c r="D204" s="1897">
        <v>2016</v>
      </c>
      <c r="E204" s="1897">
        <v>2018</v>
      </c>
      <c r="F204" s="1925" t="s">
        <v>356</v>
      </c>
      <c r="G204" s="1925" t="s">
        <v>36</v>
      </c>
      <c r="H204" s="1261">
        <v>0</v>
      </c>
      <c r="I204" s="1261">
        <v>6720</v>
      </c>
      <c r="J204" s="1261">
        <v>0</v>
      </c>
    </row>
    <row r="205" spans="1:10" ht="17.25" customHeight="1" x14ac:dyDescent="0.2">
      <c r="A205" s="1322" t="s">
        <v>450</v>
      </c>
      <c r="B205" s="1273" t="s">
        <v>532</v>
      </c>
      <c r="C205" s="1883"/>
      <c r="D205" s="1897"/>
      <c r="E205" s="1897"/>
      <c r="F205" s="1926"/>
      <c r="G205" s="1926"/>
      <c r="H205" s="1897"/>
      <c r="I205" s="1897">
        <v>10800</v>
      </c>
      <c r="J205" s="1897">
        <v>0</v>
      </c>
    </row>
    <row r="206" spans="1:10" ht="15" customHeight="1" x14ac:dyDescent="0.2">
      <c r="A206" s="1322" t="s">
        <v>534</v>
      </c>
      <c r="B206" s="1273" t="s">
        <v>533</v>
      </c>
      <c r="C206" s="1883"/>
      <c r="D206" s="1897"/>
      <c r="E206" s="1897"/>
      <c r="F206" s="1926"/>
      <c r="G206" s="1926"/>
      <c r="H206" s="1897"/>
      <c r="I206" s="1897"/>
      <c r="J206" s="1897"/>
    </row>
    <row r="207" spans="1:10" ht="16.5" customHeight="1" x14ac:dyDescent="0.2">
      <c r="A207" s="1894" t="s">
        <v>485</v>
      </c>
      <c r="B207" s="1895"/>
      <c r="C207" s="1895"/>
      <c r="D207" s="1895"/>
      <c r="E207" s="1895"/>
      <c r="F207" s="1895"/>
      <c r="G207" s="1896"/>
      <c r="H207" s="1319">
        <f>SUM(H204:H206)</f>
        <v>0</v>
      </c>
      <c r="I207" s="1319">
        <f>SUM(I204:I206)</f>
        <v>17520</v>
      </c>
      <c r="J207" s="1319">
        <f>SUM(J204:J206)</f>
        <v>0</v>
      </c>
    </row>
    <row r="208" spans="1:10" ht="13.5" customHeight="1" x14ac:dyDescent="0.25">
      <c r="A208" s="1922" t="s">
        <v>603</v>
      </c>
      <c r="B208" s="1923"/>
      <c r="C208" s="1923"/>
      <c r="D208" s="1923"/>
      <c r="E208" s="1923"/>
      <c r="F208" s="1923"/>
      <c r="G208" s="1923"/>
      <c r="H208" s="1923"/>
      <c r="I208" s="1923"/>
      <c r="J208" s="1924"/>
    </row>
    <row r="209" spans="1:10" ht="32.25" customHeight="1" x14ac:dyDescent="0.2">
      <c r="A209" s="1325" t="s">
        <v>474</v>
      </c>
      <c r="B209" s="1344" t="s">
        <v>717</v>
      </c>
      <c r="C209" s="1882" t="s">
        <v>397</v>
      </c>
      <c r="D209" s="1885">
        <v>2016</v>
      </c>
      <c r="E209" s="1885">
        <v>2018</v>
      </c>
      <c r="F209" s="1885" t="s">
        <v>356</v>
      </c>
      <c r="G209" s="1931" t="s">
        <v>36</v>
      </c>
      <c r="H209" s="1912">
        <v>10000</v>
      </c>
      <c r="I209" s="1912">
        <v>2430</v>
      </c>
      <c r="J209" s="1912">
        <v>500</v>
      </c>
    </row>
    <row r="210" spans="1:10" ht="19.5" customHeight="1" x14ac:dyDescent="0.2">
      <c r="A210" s="1305" t="s">
        <v>475</v>
      </c>
      <c r="B210" s="1344" t="s">
        <v>650</v>
      </c>
      <c r="C210" s="1883"/>
      <c r="D210" s="1886"/>
      <c r="E210" s="1886"/>
      <c r="F210" s="1886"/>
      <c r="G210" s="1932"/>
      <c r="H210" s="1913"/>
      <c r="I210" s="1913"/>
      <c r="J210" s="1913"/>
    </row>
    <row r="211" spans="1:10" ht="15" customHeight="1" x14ac:dyDescent="0.2">
      <c r="A211" s="1304" t="s">
        <v>476</v>
      </c>
      <c r="B211" s="1346" t="s">
        <v>651</v>
      </c>
      <c r="C211" s="1883"/>
      <c r="D211" s="1886"/>
      <c r="E211" s="1886"/>
      <c r="F211" s="1886"/>
      <c r="G211" s="1932"/>
      <c r="H211" s="1913"/>
      <c r="I211" s="1913"/>
      <c r="J211" s="1913"/>
    </row>
    <row r="212" spans="1:10" ht="12.75" customHeight="1" x14ac:dyDescent="0.2">
      <c r="A212" s="1281" t="s">
        <v>538</v>
      </c>
      <c r="B212" s="1273" t="s">
        <v>535</v>
      </c>
      <c r="C212" s="1883"/>
      <c r="D212" s="1886"/>
      <c r="E212" s="1886"/>
      <c r="F212" s="1886"/>
      <c r="G212" s="1932"/>
      <c r="H212" s="1913"/>
      <c r="I212" s="1913"/>
      <c r="J212" s="1913"/>
    </row>
    <row r="213" spans="1:10" ht="13.5" customHeight="1" x14ac:dyDescent="0.2">
      <c r="A213" s="1281" t="s">
        <v>539</v>
      </c>
      <c r="B213" s="1273" t="s">
        <v>536</v>
      </c>
      <c r="C213" s="1883"/>
      <c r="D213" s="1886"/>
      <c r="E213" s="1886"/>
      <c r="F213" s="1886"/>
      <c r="G213" s="1932"/>
      <c r="H213" s="1913"/>
      <c r="I213" s="1913"/>
      <c r="J213" s="1913"/>
    </row>
    <row r="214" spans="1:10" ht="13.5" customHeight="1" x14ac:dyDescent="0.2">
      <c r="A214" s="1281" t="s">
        <v>540</v>
      </c>
      <c r="B214" s="1273" t="s">
        <v>588</v>
      </c>
      <c r="C214" s="1883"/>
      <c r="D214" s="1886"/>
      <c r="E214" s="1886"/>
      <c r="F214" s="1886"/>
      <c r="G214" s="1932"/>
      <c r="H214" s="1913"/>
      <c r="I214" s="1913"/>
      <c r="J214" s="1913"/>
    </row>
    <row r="215" spans="1:10" ht="15" customHeight="1" x14ac:dyDescent="0.2">
      <c r="A215" s="1281" t="s">
        <v>541</v>
      </c>
      <c r="B215" s="1273" t="s">
        <v>537</v>
      </c>
      <c r="C215" s="1883"/>
      <c r="D215" s="1886"/>
      <c r="E215" s="1886"/>
      <c r="F215" s="1886"/>
      <c r="G215" s="1932"/>
      <c r="H215" s="1913"/>
      <c r="I215" s="1913"/>
      <c r="J215" s="1913"/>
    </row>
    <row r="216" spans="1:10" ht="15" customHeight="1" x14ac:dyDescent="0.2">
      <c r="A216" s="1304" t="s">
        <v>719</v>
      </c>
      <c r="B216" s="1273" t="s">
        <v>718</v>
      </c>
      <c r="C216" s="1883"/>
      <c r="D216" s="1886"/>
      <c r="E216" s="1886"/>
      <c r="F216" s="1886"/>
      <c r="G216" s="1932"/>
      <c r="H216" s="1913"/>
      <c r="I216" s="1913"/>
      <c r="J216" s="1913"/>
    </row>
    <row r="217" spans="1:10" ht="15" customHeight="1" x14ac:dyDescent="0.2">
      <c r="A217" s="1304" t="s">
        <v>720</v>
      </c>
      <c r="B217" s="1273" t="s">
        <v>721</v>
      </c>
      <c r="C217" s="1883"/>
      <c r="D217" s="1886"/>
      <c r="E217" s="1886"/>
      <c r="F217" s="1886"/>
      <c r="G217" s="1932"/>
      <c r="H217" s="1913"/>
      <c r="I217" s="1913"/>
      <c r="J217" s="1913"/>
    </row>
    <row r="218" spans="1:10" ht="15" customHeight="1" x14ac:dyDescent="0.2">
      <c r="A218" s="1304" t="s">
        <v>722</v>
      </c>
      <c r="B218" s="1273" t="s">
        <v>723</v>
      </c>
      <c r="C218" s="1883"/>
      <c r="D218" s="1886"/>
      <c r="E218" s="1886"/>
      <c r="F218" s="1886"/>
      <c r="G218" s="1932"/>
      <c r="H218" s="1913"/>
      <c r="I218" s="1913"/>
      <c r="J218" s="1913"/>
    </row>
    <row r="219" spans="1:10" ht="15" customHeight="1" x14ac:dyDescent="0.2">
      <c r="A219" s="1304" t="s">
        <v>724</v>
      </c>
      <c r="B219" s="1273" t="s">
        <v>725</v>
      </c>
      <c r="C219" s="1884"/>
      <c r="D219" s="1887"/>
      <c r="E219" s="1887"/>
      <c r="F219" s="1887"/>
      <c r="G219" s="1933"/>
      <c r="H219" s="1914"/>
      <c r="I219" s="1914"/>
      <c r="J219" s="1914"/>
    </row>
    <row r="220" spans="1:10" ht="13.5" customHeight="1" x14ac:dyDescent="0.2">
      <c r="A220" s="1894" t="s">
        <v>485</v>
      </c>
      <c r="B220" s="1895"/>
      <c r="C220" s="1895"/>
      <c r="D220" s="1895"/>
      <c r="E220" s="1895"/>
      <c r="F220" s="1895"/>
      <c r="G220" s="1896"/>
      <c r="H220" s="1319">
        <f>SUM(H209:H215)</f>
        <v>10000</v>
      </c>
      <c r="I220" s="1319">
        <f>SUM(I209:I215)</f>
        <v>2430</v>
      </c>
      <c r="J220" s="1319">
        <f>SUM(J209:J215)</f>
        <v>500</v>
      </c>
    </row>
    <row r="221" spans="1:10" ht="14.25" customHeight="1" x14ac:dyDescent="0.25">
      <c r="A221" s="1888" t="s">
        <v>594</v>
      </c>
      <c r="B221" s="1889"/>
      <c r="C221" s="1889"/>
      <c r="D221" s="1889"/>
      <c r="E221" s="1889"/>
      <c r="F221" s="1889"/>
      <c r="G221" s="1890"/>
      <c r="H221" s="1341">
        <f>SUM(H193+H199+H204+H209)</f>
        <v>18300</v>
      </c>
      <c r="I221" s="1341">
        <f>SUM(I193+I199+I204+I209)</f>
        <v>30300</v>
      </c>
      <c r="J221" s="1341">
        <f>SUM(J193+J199+J204+J209)</f>
        <v>18300</v>
      </c>
    </row>
    <row r="222" spans="1:10" ht="14.25" customHeight="1" x14ac:dyDescent="0.25">
      <c r="A222" s="1888" t="s">
        <v>595</v>
      </c>
      <c r="B222" s="1889"/>
      <c r="C222" s="1889"/>
      <c r="D222" s="1889"/>
      <c r="E222" s="1889"/>
      <c r="F222" s="1889"/>
      <c r="G222" s="1889"/>
      <c r="H222" s="1310">
        <f>SUM(H195+H200+H205+H212)</f>
        <v>18300</v>
      </c>
      <c r="I222" s="1310">
        <f>SUM(I195+I200+I205+I212)</f>
        <v>30300</v>
      </c>
      <c r="J222" s="1310">
        <f>SUM(J195+J200+J205+J212)</f>
        <v>18300</v>
      </c>
    </row>
    <row r="223" spans="1:10" ht="14.25" customHeight="1" x14ac:dyDescent="0.25">
      <c r="A223" s="1903" t="s">
        <v>487</v>
      </c>
      <c r="B223" s="1904"/>
      <c r="C223" s="1904"/>
      <c r="D223" s="1904"/>
      <c r="E223" s="1904"/>
      <c r="F223" s="1904"/>
      <c r="G223" s="1905"/>
      <c r="H223" s="1311">
        <f>H221+H222</f>
        <v>36600</v>
      </c>
      <c r="I223" s="1311">
        <f>I221+I222</f>
        <v>60600</v>
      </c>
      <c r="J223" s="1311">
        <f>J221+J222</f>
        <v>36600</v>
      </c>
    </row>
    <row r="224" spans="1:10" ht="15" customHeight="1" x14ac:dyDescent="0.25">
      <c r="A224" s="1284" t="s">
        <v>797</v>
      </c>
      <c r="B224" s="1284"/>
      <c r="C224" s="1285"/>
      <c r="D224" s="1285"/>
      <c r="E224" s="1285"/>
      <c r="F224" s="1285"/>
      <c r="G224" s="1285"/>
      <c r="H224" s="1285"/>
      <c r="I224" s="1285"/>
      <c r="J224" s="1286"/>
    </row>
    <row r="225" spans="1:237" ht="15" customHeight="1" x14ac:dyDescent="0.25">
      <c r="A225" s="1299" t="s">
        <v>798</v>
      </c>
      <c r="B225" s="1288"/>
      <c r="C225" s="1288"/>
      <c r="D225" s="1288"/>
      <c r="E225" s="1288"/>
      <c r="F225" s="1288"/>
      <c r="G225" s="1288"/>
      <c r="H225" s="1289"/>
      <c r="I225" s="1288"/>
      <c r="J225" s="1290"/>
    </row>
    <row r="226" spans="1:237" ht="51.75" customHeight="1" x14ac:dyDescent="0.25">
      <c r="A226" s="1354" t="s">
        <v>379</v>
      </c>
      <c r="B226" s="1366" t="s">
        <v>681</v>
      </c>
      <c r="C226" s="1365" t="s">
        <v>444</v>
      </c>
      <c r="D226" s="1365">
        <v>2016</v>
      </c>
      <c r="E226" s="1365">
        <v>2018</v>
      </c>
      <c r="F226" s="1365" t="s">
        <v>356</v>
      </c>
      <c r="G226" s="1365" t="s">
        <v>751</v>
      </c>
      <c r="H226" s="1365">
        <v>43400</v>
      </c>
      <c r="I226" s="1365">
        <v>0</v>
      </c>
      <c r="J226" s="1365">
        <v>0</v>
      </c>
    </row>
    <row r="227" spans="1:237" ht="34.5" customHeight="1" x14ac:dyDescent="0.2">
      <c r="A227" s="1302" t="s">
        <v>380</v>
      </c>
      <c r="B227" s="1273" t="s">
        <v>682</v>
      </c>
      <c r="C227" s="1364" t="s">
        <v>444</v>
      </c>
      <c r="D227" s="1364">
        <v>2016</v>
      </c>
      <c r="E227" s="1364">
        <v>2018</v>
      </c>
      <c r="F227" s="1364" t="s">
        <v>356</v>
      </c>
      <c r="G227" s="1364" t="s">
        <v>36</v>
      </c>
      <c r="H227" s="1370">
        <v>14840</v>
      </c>
      <c r="I227" s="1363">
        <v>31590</v>
      </c>
      <c r="J227" s="1363">
        <v>25180</v>
      </c>
      <c r="HQ227" s="1269"/>
      <c r="HR227" s="1269"/>
      <c r="HS227" s="1269"/>
      <c r="HT227" s="1269"/>
      <c r="HU227" s="1269"/>
      <c r="HV227" s="1269"/>
      <c r="HW227" s="1269"/>
      <c r="HX227" s="1269"/>
      <c r="HY227" s="1269"/>
      <c r="HZ227" s="1269"/>
      <c r="IA227" s="1269"/>
      <c r="IB227" s="1269"/>
      <c r="IC227" s="1269"/>
    </row>
    <row r="228" spans="1:237" ht="48" customHeight="1" x14ac:dyDescent="0.2">
      <c r="A228" s="1302" t="s">
        <v>381</v>
      </c>
      <c r="B228" s="1273" t="s">
        <v>619</v>
      </c>
      <c r="C228" s="1891" t="s">
        <v>444</v>
      </c>
      <c r="D228" s="1891">
        <v>2016</v>
      </c>
      <c r="E228" s="1891">
        <v>2018</v>
      </c>
      <c r="F228" s="1891" t="s">
        <v>356</v>
      </c>
      <c r="G228" s="1891" t="s">
        <v>36</v>
      </c>
      <c r="H228" s="1882">
        <v>22680</v>
      </c>
      <c r="I228" s="1882">
        <v>27720</v>
      </c>
      <c r="J228" s="1882">
        <v>10980</v>
      </c>
      <c r="HQ228" s="1269"/>
      <c r="HR228" s="1269"/>
      <c r="HS228" s="1269"/>
      <c r="HT228" s="1269"/>
      <c r="HU228" s="1269"/>
      <c r="HV228" s="1269"/>
      <c r="HW228" s="1269"/>
      <c r="HX228" s="1269"/>
      <c r="HY228" s="1269"/>
      <c r="HZ228" s="1269"/>
      <c r="IA228" s="1269"/>
      <c r="IB228" s="1269"/>
      <c r="IC228" s="1269"/>
    </row>
    <row r="229" spans="1:237" ht="16.5" customHeight="1" x14ac:dyDescent="0.2">
      <c r="A229" s="1302" t="s">
        <v>382</v>
      </c>
      <c r="B229" s="1273" t="s">
        <v>590</v>
      </c>
      <c r="C229" s="1893"/>
      <c r="D229" s="1893"/>
      <c r="E229" s="1893"/>
      <c r="F229" s="1893"/>
      <c r="G229" s="1893"/>
      <c r="H229" s="1884"/>
      <c r="I229" s="1884"/>
      <c r="J229" s="1884"/>
    </row>
    <row r="230" spans="1:237" ht="15.75" x14ac:dyDescent="0.2">
      <c r="A230" s="1894" t="s">
        <v>485</v>
      </c>
      <c r="B230" s="1895"/>
      <c r="C230" s="1895"/>
      <c r="D230" s="1895"/>
      <c r="E230" s="1895"/>
      <c r="F230" s="1895"/>
      <c r="G230" s="1896"/>
      <c r="H230" s="1319">
        <f>H226+H227</f>
        <v>58240</v>
      </c>
      <c r="I230" s="1319">
        <f>I227+I228</f>
        <v>59310</v>
      </c>
      <c r="J230" s="1319">
        <f>J227+J228</f>
        <v>36160</v>
      </c>
    </row>
    <row r="231" spans="1:237" ht="15.75" x14ac:dyDescent="0.25">
      <c r="A231" s="1299" t="s">
        <v>799</v>
      </c>
      <c r="B231" s="1288"/>
      <c r="C231" s="1288"/>
      <c r="D231" s="1288"/>
      <c r="E231" s="1288"/>
      <c r="F231" s="1288"/>
      <c r="G231" s="1288"/>
      <c r="H231" s="1289"/>
      <c r="I231" s="1288"/>
      <c r="J231" s="1290"/>
    </row>
    <row r="232" spans="1:237" ht="15" customHeight="1" x14ac:dyDescent="0.2">
      <c r="A232" s="1347" t="s">
        <v>383</v>
      </c>
      <c r="B232" s="1280" t="s">
        <v>652</v>
      </c>
      <c r="C232" s="1898" t="s">
        <v>429</v>
      </c>
      <c r="D232" s="1891">
        <v>2016</v>
      </c>
      <c r="E232" s="1891">
        <v>2018</v>
      </c>
      <c r="F232" s="1898" t="s">
        <v>356</v>
      </c>
      <c r="G232" s="1898" t="s">
        <v>36</v>
      </c>
      <c r="H232" s="1292">
        <v>840</v>
      </c>
      <c r="I232" s="1292">
        <v>0</v>
      </c>
      <c r="J232" s="1292">
        <v>0</v>
      </c>
    </row>
    <row r="233" spans="1:237" ht="14.25" customHeight="1" x14ac:dyDescent="0.2">
      <c r="A233" s="1348" t="s">
        <v>451</v>
      </c>
      <c r="B233" s="1277" t="s">
        <v>591</v>
      </c>
      <c r="C233" s="1898"/>
      <c r="D233" s="1892"/>
      <c r="E233" s="1892"/>
      <c r="F233" s="1898"/>
      <c r="G233" s="1898"/>
      <c r="H233" s="1898">
        <v>3000</v>
      </c>
      <c r="I233" s="1898">
        <v>0</v>
      </c>
      <c r="J233" s="1898">
        <v>0</v>
      </c>
    </row>
    <row r="234" spans="1:237" ht="15.75" customHeight="1" x14ac:dyDescent="0.2">
      <c r="A234" s="1348" t="s">
        <v>452</v>
      </c>
      <c r="B234" s="1277" t="s">
        <v>543</v>
      </c>
      <c r="C234" s="1898"/>
      <c r="D234" s="1892"/>
      <c r="E234" s="1892"/>
      <c r="F234" s="1898"/>
      <c r="G234" s="1898"/>
      <c r="H234" s="1898"/>
      <c r="I234" s="1898"/>
      <c r="J234" s="1898"/>
    </row>
    <row r="235" spans="1:237" ht="15.75" customHeight="1" x14ac:dyDescent="0.2">
      <c r="A235" s="1349" t="s">
        <v>545</v>
      </c>
      <c r="B235" s="1277" t="s">
        <v>544</v>
      </c>
      <c r="C235" s="1898"/>
      <c r="D235" s="1892"/>
      <c r="E235" s="1892"/>
      <c r="F235" s="1898"/>
      <c r="G235" s="1898"/>
      <c r="H235" s="1898"/>
      <c r="I235" s="1898"/>
      <c r="J235" s="1898"/>
    </row>
    <row r="236" spans="1:237" ht="16.5" customHeight="1" x14ac:dyDescent="0.2">
      <c r="A236" s="1894" t="s">
        <v>485</v>
      </c>
      <c r="B236" s="1895"/>
      <c r="C236" s="1895"/>
      <c r="D236" s="1895"/>
      <c r="E236" s="1895"/>
      <c r="F236" s="1895"/>
      <c r="G236" s="1896"/>
      <c r="H236" s="1319">
        <f>H232+H233</f>
        <v>3840</v>
      </c>
      <c r="I236" s="1319">
        <f>I232+I233</f>
        <v>0</v>
      </c>
      <c r="J236" s="1319">
        <f>J232+J233</f>
        <v>0</v>
      </c>
    </row>
    <row r="237" spans="1:237" ht="15.75" x14ac:dyDescent="0.25">
      <c r="A237" s="1299" t="s">
        <v>800</v>
      </c>
      <c r="B237" s="1288"/>
      <c r="C237" s="1288"/>
      <c r="D237" s="1288"/>
      <c r="E237" s="1288"/>
      <c r="F237" s="1288"/>
      <c r="G237" s="1288"/>
      <c r="H237" s="1289"/>
      <c r="I237" s="1288"/>
      <c r="J237" s="1290"/>
    </row>
    <row r="238" spans="1:237" ht="15" customHeight="1" x14ac:dyDescent="0.2">
      <c r="A238" s="1300" t="s">
        <v>384</v>
      </c>
      <c r="B238" s="1280" t="s">
        <v>652</v>
      </c>
      <c r="C238" s="1891" t="s">
        <v>396</v>
      </c>
      <c r="D238" s="1891">
        <v>2016</v>
      </c>
      <c r="E238" s="1891">
        <v>2018</v>
      </c>
      <c r="F238" s="1891" t="s">
        <v>356</v>
      </c>
      <c r="G238" s="1891" t="s">
        <v>36</v>
      </c>
      <c r="H238" s="1270">
        <v>0</v>
      </c>
      <c r="I238" s="1292">
        <v>8400</v>
      </c>
      <c r="J238" s="1292">
        <v>0</v>
      </c>
    </row>
    <row r="239" spans="1:237" ht="17.25" customHeight="1" x14ac:dyDescent="0.25">
      <c r="A239" s="1350" t="s">
        <v>385</v>
      </c>
      <c r="B239" s="1277" t="s">
        <v>542</v>
      </c>
      <c r="C239" s="1892"/>
      <c r="D239" s="1892"/>
      <c r="E239" s="1892"/>
      <c r="F239" s="1892"/>
      <c r="G239" s="1892"/>
      <c r="H239" s="1960">
        <v>0</v>
      </c>
      <c r="I239" s="1960">
        <v>14700</v>
      </c>
      <c r="J239" s="1960">
        <v>14700</v>
      </c>
    </row>
    <row r="240" spans="1:237" ht="15" customHeight="1" x14ac:dyDescent="0.25">
      <c r="A240" s="1350" t="s">
        <v>546</v>
      </c>
      <c r="B240" s="1277" t="s">
        <v>543</v>
      </c>
      <c r="C240" s="1892"/>
      <c r="D240" s="1892"/>
      <c r="E240" s="1892"/>
      <c r="F240" s="1892"/>
      <c r="G240" s="1892"/>
      <c r="H240" s="1960"/>
      <c r="I240" s="1960"/>
      <c r="J240" s="1960"/>
    </row>
    <row r="241" spans="1:227" ht="15" customHeight="1" x14ac:dyDescent="0.25">
      <c r="A241" s="1350" t="s">
        <v>547</v>
      </c>
      <c r="B241" s="1277" t="s">
        <v>544</v>
      </c>
      <c r="C241" s="1892"/>
      <c r="D241" s="1892"/>
      <c r="E241" s="1892"/>
      <c r="F241" s="1892"/>
      <c r="G241" s="1892"/>
      <c r="H241" s="1960"/>
      <c r="I241" s="1960"/>
      <c r="J241" s="1960"/>
    </row>
    <row r="242" spans="1:227" ht="18.75" customHeight="1" x14ac:dyDescent="0.2">
      <c r="A242" s="1894" t="s">
        <v>485</v>
      </c>
      <c r="B242" s="1895"/>
      <c r="C242" s="1895"/>
      <c r="D242" s="1895"/>
      <c r="E242" s="1895"/>
      <c r="F242" s="1895"/>
      <c r="G242" s="1896"/>
      <c r="H242" s="1319">
        <f>SUM(H238:H241)</f>
        <v>0</v>
      </c>
      <c r="I242" s="1319">
        <f>SUM(I238:I241)</f>
        <v>23100</v>
      </c>
      <c r="J242" s="1319">
        <f>SUM(J238:J241)</f>
        <v>14700</v>
      </c>
    </row>
    <row r="243" spans="1:227" ht="15.75" customHeight="1" x14ac:dyDescent="0.25">
      <c r="A243" s="1922" t="s">
        <v>604</v>
      </c>
      <c r="B243" s="1923"/>
      <c r="C243" s="1923"/>
      <c r="D243" s="1923"/>
      <c r="E243" s="1923"/>
      <c r="F243" s="1923"/>
      <c r="G243" s="1923"/>
      <c r="H243" s="1923"/>
      <c r="I243" s="1923"/>
      <c r="J243" s="1924"/>
    </row>
    <row r="244" spans="1:227" ht="15.75" x14ac:dyDescent="0.2">
      <c r="A244" s="1304" t="s">
        <v>422</v>
      </c>
      <c r="B244" s="1300" t="s">
        <v>726</v>
      </c>
      <c r="C244" s="1882" t="s">
        <v>397</v>
      </c>
      <c r="D244" s="1885">
        <v>2016</v>
      </c>
      <c r="E244" s="1879">
        <v>2018</v>
      </c>
      <c r="F244" s="1882" t="s">
        <v>356</v>
      </c>
      <c r="G244" s="1885" t="s">
        <v>36</v>
      </c>
      <c r="H244" s="1882">
        <v>10000</v>
      </c>
      <c r="I244" s="1882">
        <v>2430</v>
      </c>
      <c r="J244" s="1882">
        <v>500</v>
      </c>
    </row>
    <row r="245" spans="1:227" ht="15.75" x14ac:dyDescent="0.2">
      <c r="A245" s="1304" t="s">
        <v>453</v>
      </c>
      <c r="B245" s="1302" t="s">
        <v>727</v>
      </c>
      <c r="C245" s="1883"/>
      <c r="D245" s="1886"/>
      <c r="E245" s="1880"/>
      <c r="F245" s="1883"/>
      <c r="G245" s="1886"/>
      <c r="H245" s="1883"/>
      <c r="I245" s="1883"/>
      <c r="J245" s="1883"/>
    </row>
    <row r="246" spans="1:227" s="1248" customFormat="1" ht="15.75" x14ac:dyDescent="0.2">
      <c r="A246" s="1304" t="s">
        <v>454</v>
      </c>
      <c r="B246" s="1302" t="s">
        <v>653</v>
      </c>
      <c r="C246" s="1883"/>
      <c r="D246" s="1886"/>
      <c r="E246" s="1880"/>
      <c r="F246" s="1883"/>
      <c r="G246" s="1886"/>
      <c r="H246" s="1883"/>
      <c r="I246" s="1883"/>
      <c r="J246" s="1883"/>
    </row>
    <row r="247" spans="1:227" s="1248" customFormat="1" ht="15.75" x14ac:dyDescent="0.2">
      <c r="A247" s="1281" t="s">
        <v>548</v>
      </c>
      <c r="B247" s="1276" t="s">
        <v>728</v>
      </c>
      <c r="C247" s="1883"/>
      <c r="D247" s="1886"/>
      <c r="E247" s="1880"/>
      <c r="F247" s="1883"/>
      <c r="G247" s="1886"/>
      <c r="H247" s="1883"/>
      <c r="I247" s="1883"/>
      <c r="J247" s="1883"/>
    </row>
    <row r="248" spans="1:227" s="1248" customFormat="1" ht="15.75" x14ac:dyDescent="0.2">
      <c r="A248" s="1304" t="s">
        <v>729</v>
      </c>
      <c r="B248" s="1273" t="s">
        <v>730</v>
      </c>
      <c r="C248" s="1883"/>
      <c r="D248" s="1886"/>
      <c r="E248" s="1880"/>
      <c r="F248" s="1883"/>
      <c r="G248" s="1886"/>
      <c r="H248" s="1883"/>
      <c r="I248" s="1883"/>
      <c r="J248" s="1883"/>
    </row>
    <row r="249" spans="1:227" s="1248" customFormat="1" ht="15.75" x14ac:dyDescent="0.2">
      <c r="A249" s="1304" t="s">
        <v>734</v>
      </c>
      <c r="B249" s="1273" t="s">
        <v>731</v>
      </c>
      <c r="C249" s="1883"/>
      <c r="D249" s="1886"/>
      <c r="E249" s="1880"/>
      <c r="F249" s="1883"/>
      <c r="G249" s="1886"/>
      <c r="H249" s="1883"/>
      <c r="I249" s="1883"/>
      <c r="J249" s="1883"/>
    </row>
    <row r="250" spans="1:227" s="1248" customFormat="1" ht="15.75" x14ac:dyDescent="0.2">
      <c r="A250" s="1304" t="s">
        <v>735</v>
      </c>
      <c r="B250" s="1273" t="s">
        <v>732</v>
      </c>
      <c r="C250" s="1883"/>
      <c r="D250" s="1886"/>
      <c r="E250" s="1880"/>
      <c r="F250" s="1883"/>
      <c r="G250" s="1886"/>
      <c r="H250" s="1883"/>
      <c r="I250" s="1883"/>
      <c r="J250" s="1883"/>
    </row>
    <row r="251" spans="1:227" s="1248" customFormat="1" ht="15.75" x14ac:dyDescent="0.2">
      <c r="A251" s="1304" t="s">
        <v>736</v>
      </c>
      <c r="B251" s="1273" t="s">
        <v>733</v>
      </c>
      <c r="C251" s="1883"/>
      <c r="D251" s="1886"/>
      <c r="E251" s="1880"/>
      <c r="F251" s="1883"/>
      <c r="G251" s="1886"/>
      <c r="H251" s="1883"/>
      <c r="I251" s="1883"/>
      <c r="J251" s="1883"/>
    </row>
    <row r="252" spans="1:227" s="1248" customFormat="1" ht="15.75" x14ac:dyDescent="0.2">
      <c r="A252" s="1304" t="s">
        <v>737</v>
      </c>
      <c r="B252" s="1273" t="s">
        <v>773</v>
      </c>
      <c r="C252" s="1884"/>
      <c r="D252" s="1887"/>
      <c r="E252" s="1881"/>
      <c r="F252" s="1884"/>
      <c r="G252" s="1887"/>
      <c r="H252" s="1884"/>
      <c r="I252" s="1884"/>
      <c r="J252" s="1884"/>
    </row>
    <row r="253" spans="1:227" s="1248" customFormat="1" ht="15.75" x14ac:dyDescent="0.2">
      <c r="A253" s="1894" t="s">
        <v>485</v>
      </c>
      <c r="B253" s="1895"/>
      <c r="C253" s="1895"/>
      <c r="D253" s="1895"/>
      <c r="E253" s="1895"/>
      <c r="F253" s="1895"/>
      <c r="G253" s="1896"/>
      <c r="H253" s="1319">
        <f>H244+H247</f>
        <v>10000</v>
      </c>
      <c r="I253" s="1319">
        <f>I244+I247</f>
        <v>2430</v>
      </c>
      <c r="J253" s="1319">
        <f>J244+J247</f>
        <v>500</v>
      </c>
    </row>
    <row r="254" spans="1:227" ht="14.25" customHeight="1" x14ac:dyDescent="0.25">
      <c r="A254" s="1888" t="s">
        <v>594</v>
      </c>
      <c r="B254" s="1889"/>
      <c r="C254" s="1889"/>
      <c r="D254" s="1889"/>
      <c r="E254" s="1889"/>
      <c r="F254" s="1889"/>
      <c r="G254" s="1890"/>
      <c r="H254" s="1310">
        <f>SUM(H227+H232+H238+H244)</f>
        <v>25680</v>
      </c>
      <c r="I254" s="1310">
        <f>SUM(I227+I232+I238+I244)</f>
        <v>42420</v>
      </c>
      <c r="J254" s="1310">
        <f>SUM(J227+J232+J238+J244)</f>
        <v>25680</v>
      </c>
      <c r="HS254" s="1255"/>
    </row>
    <row r="255" spans="1:227" ht="14.25" customHeight="1" x14ac:dyDescent="0.25">
      <c r="A255" s="1888" t="s">
        <v>595</v>
      </c>
      <c r="B255" s="1889"/>
      <c r="C255" s="1889"/>
      <c r="D255" s="1889"/>
      <c r="E255" s="1889"/>
      <c r="F255" s="1889"/>
      <c r="G255" s="1889"/>
      <c r="H255" s="1310">
        <f>SUM(H226+H228+H233)</f>
        <v>69080</v>
      </c>
      <c r="I255" s="1310">
        <f>SUM(I228+I233+I239+I247)</f>
        <v>42420</v>
      </c>
      <c r="J255" s="1310">
        <f>SUM(J228+J233+J239+J247)</f>
        <v>25680</v>
      </c>
      <c r="HS255" s="1255"/>
    </row>
    <row r="256" spans="1:227" ht="15" customHeight="1" x14ac:dyDescent="0.25">
      <c r="A256" s="1903" t="s">
        <v>487</v>
      </c>
      <c r="B256" s="1904"/>
      <c r="C256" s="1904"/>
      <c r="D256" s="1904"/>
      <c r="E256" s="1904"/>
      <c r="F256" s="1904"/>
      <c r="G256" s="1905"/>
      <c r="H256" s="1311">
        <f>H254+H255</f>
        <v>94760</v>
      </c>
      <c r="I256" s="1311">
        <f>I254+I255</f>
        <v>84840</v>
      </c>
      <c r="J256" s="1311">
        <f>J254+J255</f>
        <v>51360</v>
      </c>
      <c r="HS256" s="1255"/>
    </row>
    <row r="257" spans="1:227" ht="16.5" customHeight="1" x14ac:dyDescent="0.25">
      <c r="A257" s="1928" t="s">
        <v>801</v>
      </c>
      <c r="B257" s="1929"/>
      <c r="C257" s="1929"/>
      <c r="D257" s="1929"/>
      <c r="E257" s="1929"/>
      <c r="F257" s="1929"/>
      <c r="G257" s="1929"/>
      <c r="H257" s="1929"/>
      <c r="I257" s="1929"/>
      <c r="J257" s="1930"/>
      <c r="HS257" s="1255"/>
    </row>
    <row r="258" spans="1:227" ht="18" customHeight="1" x14ac:dyDescent="0.25">
      <c r="A258" s="1922" t="s">
        <v>802</v>
      </c>
      <c r="B258" s="1923"/>
      <c r="C258" s="1923"/>
      <c r="D258" s="1923"/>
      <c r="E258" s="1923"/>
      <c r="F258" s="1923"/>
      <c r="G258" s="1923"/>
      <c r="H258" s="1923"/>
      <c r="I258" s="1923"/>
      <c r="J258" s="1924"/>
      <c r="HS258" s="1255"/>
    </row>
    <row r="259" spans="1:227" ht="33.75" customHeight="1" x14ac:dyDescent="0.2">
      <c r="A259" s="1351" t="s">
        <v>413</v>
      </c>
      <c r="B259" s="1277" t="s">
        <v>683</v>
      </c>
      <c r="C259" s="1883" t="s">
        <v>444</v>
      </c>
      <c r="D259" s="1880">
        <v>2016</v>
      </c>
      <c r="E259" s="1880">
        <v>2018</v>
      </c>
      <c r="F259" s="1886" t="s">
        <v>356</v>
      </c>
      <c r="G259" s="1880" t="s">
        <v>36</v>
      </c>
      <c r="H259" s="1921">
        <v>56841</v>
      </c>
      <c r="I259" s="1921">
        <v>98610</v>
      </c>
      <c r="J259" s="1921">
        <v>52565</v>
      </c>
    </row>
    <row r="260" spans="1:227" ht="45.75" customHeight="1" x14ac:dyDescent="0.2">
      <c r="A260" s="1352" t="s">
        <v>414</v>
      </c>
      <c r="B260" s="1277" t="s">
        <v>684</v>
      </c>
      <c r="C260" s="1883"/>
      <c r="D260" s="1880"/>
      <c r="E260" s="1880"/>
      <c r="F260" s="1886"/>
      <c r="G260" s="1880"/>
      <c r="H260" s="1921"/>
      <c r="I260" s="1921"/>
      <c r="J260" s="1921"/>
    </row>
    <row r="261" spans="1:227" ht="35.25" customHeight="1" x14ac:dyDescent="0.2">
      <c r="A261" s="1334" t="s">
        <v>415</v>
      </c>
      <c r="B261" s="1273" t="s">
        <v>615</v>
      </c>
      <c r="C261" s="1883"/>
      <c r="D261" s="1880"/>
      <c r="E261" s="1880"/>
      <c r="F261" s="1886"/>
      <c r="G261" s="1880"/>
      <c r="H261" s="1921">
        <v>45925</v>
      </c>
      <c r="I261" s="1921">
        <v>71800</v>
      </c>
      <c r="J261" s="1921">
        <v>23825</v>
      </c>
    </row>
    <row r="262" spans="1:227" ht="30.75" customHeight="1" x14ac:dyDescent="0.2">
      <c r="A262" s="1352" t="s">
        <v>416</v>
      </c>
      <c r="B262" s="1273" t="s">
        <v>616</v>
      </c>
      <c r="C262" s="1883"/>
      <c r="D262" s="1880"/>
      <c r="E262" s="1880"/>
      <c r="F262" s="1886"/>
      <c r="G262" s="1880"/>
      <c r="H262" s="1921"/>
      <c r="I262" s="1921"/>
      <c r="J262" s="1921"/>
    </row>
    <row r="263" spans="1:227" ht="18.75" customHeight="1" x14ac:dyDescent="0.2">
      <c r="A263" s="1351" t="s">
        <v>417</v>
      </c>
      <c r="B263" s="1281" t="s">
        <v>685</v>
      </c>
      <c r="C263" s="1883"/>
      <c r="D263" s="1880"/>
      <c r="E263" s="1880"/>
      <c r="F263" s="1886"/>
      <c r="G263" s="1880"/>
      <c r="H263" s="1921"/>
      <c r="I263" s="1921"/>
      <c r="J263" s="1921"/>
    </row>
    <row r="264" spans="1:227" ht="17.25" customHeight="1" x14ac:dyDescent="0.2">
      <c r="A264" s="1351" t="s">
        <v>418</v>
      </c>
      <c r="B264" s="1336" t="s">
        <v>686</v>
      </c>
      <c r="C264" s="1883"/>
      <c r="D264" s="1880"/>
      <c r="E264" s="1880"/>
      <c r="F264" s="1886"/>
      <c r="G264" s="1880"/>
      <c r="H264" s="1921"/>
      <c r="I264" s="1921"/>
      <c r="J264" s="1921"/>
    </row>
    <row r="265" spans="1:227" ht="30" customHeight="1" x14ac:dyDescent="0.2">
      <c r="A265" s="1351" t="s">
        <v>419</v>
      </c>
      <c r="B265" s="1353" t="s">
        <v>617</v>
      </c>
      <c r="C265" s="1883"/>
      <c r="D265" s="1880"/>
      <c r="E265" s="1880"/>
      <c r="F265" s="1886"/>
      <c r="G265" s="1880"/>
      <c r="H265" s="1921"/>
      <c r="I265" s="1921"/>
      <c r="J265" s="1921"/>
    </row>
    <row r="266" spans="1:227" ht="13.5" customHeight="1" x14ac:dyDescent="0.2">
      <c r="A266" s="1894" t="s">
        <v>485</v>
      </c>
      <c r="B266" s="1895"/>
      <c r="C266" s="1895"/>
      <c r="D266" s="1895"/>
      <c r="E266" s="1895"/>
      <c r="F266" s="1895"/>
      <c r="G266" s="1896"/>
      <c r="H266" s="1319">
        <f>SUM(H259:H265)</f>
        <v>102766</v>
      </c>
      <c r="I266" s="1319">
        <f>SUM(I259:I265)</f>
        <v>170410</v>
      </c>
      <c r="J266" s="1319">
        <f>SUM(J259:J265)</f>
        <v>76390</v>
      </c>
    </row>
    <row r="267" spans="1:227" ht="14.25" customHeight="1" x14ac:dyDescent="0.25">
      <c r="A267" s="1299" t="s">
        <v>803</v>
      </c>
      <c r="B267" s="1288"/>
      <c r="C267" s="1288"/>
      <c r="D267" s="1288"/>
      <c r="E267" s="1288"/>
      <c r="F267" s="1288"/>
      <c r="G267" s="1288"/>
      <c r="H267" s="1289"/>
      <c r="I267" s="1288"/>
      <c r="J267" s="1290"/>
    </row>
    <row r="268" spans="1:227" ht="29.25" customHeight="1" x14ac:dyDescent="0.2">
      <c r="A268" s="1351" t="s">
        <v>420</v>
      </c>
      <c r="B268" s="1348" t="s">
        <v>699</v>
      </c>
      <c r="C268" s="1918" t="s">
        <v>394</v>
      </c>
      <c r="D268" s="1891">
        <v>2016</v>
      </c>
      <c r="E268" s="1891">
        <v>2018</v>
      </c>
      <c r="F268" s="1915" t="s">
        <v>356</v>
      </c>
      <c r="G268" s="1915" t="s">
        <v>36</v>
      </c>
      <c r="H268" s="1915">
        <v>6384</v>
      </c>
      <c r="I268" s="1915">
        <v>0</v>
      </c>
      <c r="J268" s="1915">
        <v>0</v>
      </c>
    </row>
    <row r="269" spans="1:227" ht="17.25" customHeight="1" x14ac:dyDescent="0.2">
      <c r="A269" s="1351" t="s">
        <v>455</v>
      </c>
      <c r="B269" s="1348" t="s">
        <v>654</v>
      </c>
      <c r="C269" s="1919"/>
      <c r="D269" s="1892"/>
      <c r="E269" s="1892"/>
      <c r="F269" s="1916"/>
      <c r="G269" s="1916"/>
      <c r="H269" s="1916"/>
      <c r="I269" s="1916"/>
      <c r="J269" s="1916"/>
    </row>
    <row r="270" spans="1:227" ht="15.75" customHeight="1" x14ac:dyDescent="0.2">
      <c r="A270" s="1351" t="s">
        <v>456</v>
      </c>
      <c r="B270" s="1348" t="s">
        <v>655</v>
      </c>
      <c r="C270" s="1919"/>
      <c r="D270" s="1892"/>
      <c r="E270" s="1892"/>
      <c r="F270" s="1916"/>
      <c r="G270" s="1916"/>
      <c r="H270" s="1917"/>
      <c r="I270" s="1917"/>
      <c r="J270" s="1917"/>
    </row>
    <row r="271" spans="1:227" ht="17.25" customHeight="1" x14ac:dyDescent="0.25">
      <c r="A271" s="1350" t="s">
        <v>552</v>
      </c>
      <c r="B271" s="1273" t="s">
        <v>549</v>
      </c>
      <c r="C271" s="1919"/>
      <c r="D271" s="1892"/>
      <c r="E271" s="1892"/>
      <c r="F271" s="1916"/>
      <c r="G271" s="1916"/>
      <c r="H271" s="1915">
        <v>27300</v>
      </c>
      <c r="I271" s="1915">
        <v>0</v>
      </c>
      <c r="J271" s="1915">
        <v>0</v>
      </c>
    </row>
    <row r="272" spans="1:227" ht="48" customHeight="1" x14ac:dyDescent="0.25">
      <c r="A272" s="1350" t="s">
        <v>553</v>
      </c>
      <c r="B272" s="1273" t="s">
        <v>696</v>
      </c>
      <c r="C272" s="1919"/>
      <c r="D272" s="1892"/>
      <c r="E272" s="1892"/>
      <c r="F272" s="1916"/>
      <c r="G272" s="1916"/>
      <c r="H272" s="1916"/>
      <c r="I272" s="1916"/>
      <c r="J272" s="1916"/>
    </row>
    <row r="273" spans="1:10" ht="15" customHeight="1" x14ac:dyDescent="0.25">
      <c r="A273" s="1350" t="s">
        <v>554</v>
      </c>
      <c r="B273" s="1273" t="s">
        <v>550</v>
      </c>
      <c r="C273" s="1919"/>
      <c r="D273" s="1892"/>
      <c r="E273" s="1892"/>
      <c r="F273" s="1916"/>
      <c r="G273" s="1916"/>
      <c r="H273" s="1916"/>
      <c r="I273" s="1916"/>
      <c r="J273" s="1916"/>
    </row>
    <row r="274" spans="1:10" ht="15" customHeight="1" x14ac:dyDescent="0.25">
      <c r="A274" s="1350" t="s">
        <v>555</v>
      </c>
      <c r="B274" s="1273" t="s">
        <v>551</v>
      </c>
      <c r="C274" s="1919"/>
      <c r="D274" s="1892"/>
      <c r="E274" s="1892"/>
      <c r="F274" s="1916"/>
      <c r="G274" s="1916"/>
      <c r="H274" s="1916"/>
      <c r="I274" s="1916"/>
      <c r="J274" s="1916"/>
    </row>
    <row r="275" spans="1:10" ht="13.5" customHeight="1" x14ac:dyDescent="0.2">
      <c r="A275" s="1354" t="s">
        <v>556</v>
      </c>
      <c r="B275" s="1273" t="s">
        <v>618</v>
      </c>
      <c r="C275" s="1919"/>
      <c r="D275" s="1892"/>
      <c r="E275" s="1892"/>
      <c r="F275" s="1916"/>
      <c r="G275" s="1916"/>
      <c r="H275" s="1916"/>
      <c r="I275" s="1916"/>
      <c r="J275" s="1916"/>
    </row>
    <row r="276" spans="1:10" ht="29.25" customHeight="1" x14ac:dyDescent="0.2">
      <c r="A276" s="1354" t="s">
        <v>557</v>
      </c>
      <c r="B276" s="1273" t="s">
        <v>584</v>
      </c>
      <c r="C276" s="1920"/>
      <c r="D276" s="1893"/>
      <c r="E276" s="1893"/>
      <c r="F276" s="1917"/>
      <c r="G276" s="1917"/>
      <c r="H276" s="1917"/>
      <c r="I276" s="1917"/>
      <c r="J276" s="1917"/>
    </row>
    <row r="277" spans="1:10" ht="13.5" customHeight="1" x14ac:dyDescent="0.2">
      <c r="A277" s="1894" t="s">
        <v>485</v>
      </c>
      <c r="B277" s="1895"/>
      <c r="C277" s="1895"/>
      <c r="D277" s="1895"/>
      <c r="E277" s="1895"/>
      <c r="F277" s="1895"/>
      <c r="G277" s="1896"/>
      <c r="H277" s="1319">
        <f>H268+H271</f>
        <v>33684</v>
      </c>
      <c r="I277" s="1319">
        <f>I268+I271</f>
        <v>0</v>
      </c>
      <c r="J277" s="1319">
        <f>J268+J271</f>
        <v>0</v>
      </c>
    </row>
    <row r="278" spans="1:10" ht="15.75" customHeight="1" x14ac:dyDescent="0.25">
      <c r="A278" s="1299" t="s">
        <v>804</v>
      </c>
      <c r="B278" s="1288"/>
      <c r="C278" s="1288"/>
      <c r="D278" s="1288"/>
      <c r="E278" s="1288"/>
      <c r="F278" s="1288"/>
      <c r="G278" s="1288"/>
      <c r="H278" s="1289"/>
      <c r="I278" s="1288"/>
      <c r="J278" s="1290"/>
    </row>
    <row r="279" spans="1:10" ht="15" customHeight="1" x14ac:dyDescent="0.2">
      <c r="A279" s="1355" t="s">
        <v>457</v>
      </c>
      <c r="B279" s="1348" t="s">
        <v>697</v>
      </c>
      <c r="C279" s="1891" t="s">
        <v>396</v>
      </c>
      <c r="D279" s="1934">
        <v>2016</v>
      </c>
      <c r="E279" s="1934">
        <v>2018</v>
      </c>
      <c r="F279" s="1961" t="s">
        <v>356</v>
      </c>
      <c r="G279" s="1961" t="s">
        <v>36</v>
      </c>
      <c r="H279" s="1934">
        <v>0</v>
      </c>
      <c r="I279" s="1934">
        <v>20160</v>
      </c>
      <c r="J279" s="1934">
        <v>20160</v>
      </c>
    </row>
    <row r="280" spans="1:10" ht="14.25" customHeight="1" x14ac:dyDescent="0.2">
      <c r="A280" s="1355" t="s">
        <v>458</v>
      </c>
      <c r="B280" s="1348" t="s">
        <v>655</v>
      </c>
      <c r="C280" s="1892"/>
      <c r="D280" s="1935"/>
      <c r="E280" s="1935"/>
      <c r="F280" s="1962"/>
      <c r="G280" s="1962"/>
      <c r="H280" s="1959"/>
      <c r="I280" s="1959"/>
      <c r="J280" s="1959"/>
    </row>
    <row r="281" spans="1:10" ht="15" customHeight="1" x14ac:dyDescent="0.2">
      <c r="A281" s="1355" t="s">
        <v>558</v>
      </c>
      <c r="B281" s="1273" t="s">
        <v>549</v>
      </c>
      <c r="C281" s="1892"/>
      <c r="D281" s="1935"/>
      <c r="E281" s="1935"/>
      <c r="F281" s="1962"/>
      <c r="G281" s="1962"/>
      <c r="H281" s="1934">
        <v>0</v>
      </c>
      <c r="I281" s="1934">
        <v>49400</v>
      </c>
      <c r="J281" s="1934">
        <v>49400</v>
      </c>
    </row>
    <row r="282" spans="1:10" ht="49.5" customHeight="1" x14ac:dyDescent="0.2">
      <c r="A282" s="1355" t="s">
        <v>559</v>
      </c>
      <c r="B282" s="1273" t="s">
        <v>696</v>
      </c>
      <c r="C282" s="1892"/>
      <c r="D282" s="1935"/>
      <c r="E282" s="1935"/>
      <c r="F282" s="1962"/>
      <c r="G282" s="1962"/>
      <c r="H282" s="1935"/>
      <c r="I282" s="1935"/>
      <c r="J282" s="1935"/>
    </row>
    <row r="283" spans="1:10" ht="15" customHeight="1" x14ac:dyDescent="0.2">
      <c r="A283" s="1355" t="s">
        <v>560</v>
      </c>
      <c r="B283" s="1273" t="s">
        <v>550</v>
      </c>
      <c r="C283" s="1892"/>
      <c r="D283" s="1935"/>
      <c r="E283" s="1935"/>
      <c r="F283" s="1962"/>
      <c r="G283" s="1962"/>
      <c r="H283" s="1935"/>
      <c r="I283" s="1935"/>
      <c r="J283" s="1935"/>
    </row>
    <row r="284" spans="1:10" ht="15" customHeight="1" x14ac:dyDescent="0.2">
      <c r="A284" s="1355" t="s">
        <v>561</v>
      </c>
      <c r="B284" s="1273" t="s">
        <v>551</v>
      </c>
      <c r="C284" s="1892"/>
      <c r="D284" s="1935"/>
      <c r="E284" s="1935"/>
      <c r="F284" s="1962"/>
      <c r="G284" s="1962"/>
      <c r="H284" s="1935"/>
      <c r="I284" s="1935"/>
      <c r="J284" s="1935"/>
    </row>
    <row r="285" spans="1:10" ht="15" customHeight="1" x14ac:dyDescent="0.2">
      <c r="A285" s="1355" t="s">
        <v>562</v>
      </c>
      <c r="B285" s="1273" t="s">
        <v>583</v>
      </c>
      <c r="C285" s="1892"/>
      <c r="D285" s="1935"/>
      <c r="E285" s="1935"/>
      <c r="F285" s="1962"/>
      <c r="G285" s="1962"/>
      <c r="H285" s="1959"/>
      <c r="I285" s="1959"/>
      <c r="J285" s="1959"/>
    </row>
    <row r="286" spans="1:10" ht="15.75" x14ac:dyDescent="0.2">
      <c r="A286" s="1894" t="s">
        <v>485</v>
      </c>
      <c r="B286" s="1895"/>
      <c r="C286" s="1895"/>
      <c r="D286" s="1895"/>
      <c r="E286" s="1895"/>
      <c r="F286" s="1895"/>
      <c r="G286" s="1896"/>
      <c r="H286" s="1319">
        <f>H279+H281</f>
        <v>0</v>
      </c>
      <c r="I286" s="1319">
        <f>I279+I281</f>
        <v>69560</v>
      </c>
      <c r="J286" s="1319">
        <f>J279+J281</f>
        <v>69560</v>
      </c>
    </row>
    <row r="287" spans="1:10" ht="15.75" x14ac:dyDescent="0.25">
      <c r="A287" s="1922" t="s">
        <v>605</v>
      </c>
      <c r="B287" s="1923"/>
      <c r="C287" s="1923"/>
      <c r="D287" s="1923"/>
      <c r="E287" s="1923"/>
      <c r="F287" s="1923"/>
      <c r="G287" s="1923"/>
      <c r="H287" s="1923"/>
      <c r="I287" s="1923"/>
      <c r="J287" s="1924"/>
    </row>
    <row r="288" spans="1:10" ht="15.75" x14ac:dyDescent="0.2">
      <c r="A288" s="1325" t="s">
        <v>459</v>
      </c>
      <c r="B288" s="1348" t="s">
        <v>738</v>
      </c>
      <c r="C288" s="1882" t="s">
        <v>397</v>
      </c>
      <c r="D288" s="1885">
        <v>2016</v>
      </c>
      <c r="E288" s="1885">
        <v>2018</v>
      </c>
      <c r="F288" s="1885" t="s">
        <v>356</v>
      </c>
      <c r="G288" s="1931" t="s">
        <v>36</v>
      </c>
      <c r="H288" s="1912">
        <v>10000</v>
      </c>
      <c r="I288" s="1912">
        <v>2430</v>
      </c>
      <c r="J288" s="1912">
        <v>500</v>
      </c>
    </row>
    <row r="289" spans="1:10" ht="36" customHeight="1" x14ac:dyDescent="0.2">
      <c r="A289" s="1305" t="s">
        <v>460</v>
      </c>
      <c r="B289" s="1273" t="s">
        <v>739</v>
      </c>
      <c r="C289" s="1883"/>
      <c r="D289" s="1886"/>
      <c r="E289" s="1886"/>
      <c r="F289" s="1886"/>
      <c r="G289" s="1932"/>
      <c r="H289" s="1913"/>
      <c r="I289" s="1913"/>
      <c r="J289" s="1913"/>
    </row>
    <row r="290" spans="1:10" ht="19.5" customHeight="1" x14ac:dyDescent="0.2">
      <c r="A290" s="1306" t="s">
        <v>461</v>
      </c>
      <c r="B290" s="1347" t="s">
        <v>774</v>
      </c>
      <c r="C290" s="1883"/>
      <c r="D290" s="1886"/>
      <c r="E290" s="1886"/>
      <c r="F290" s="1886"/>
      <c r="G290" s="1932"/>
      <c r="H290" s="1913"/>
      <c r="I290" s="1913"/>
      <c r="J290" s="1913"/>
    </row>
    <row r="291" spans="1:10" ht="16.5" customHeight="1" x14ac:dyDescent="0.2">
      <c r="A291" s="1304" t="s">
        <v>565</v>
      </c>
      <c r="B291" s="1273" t="s">
        <v>740</v>
      </c>
      <c r="C291" s="1883"/>
      <c r="D291" s="1886"/>
      <c r="E291" s="1886"/>
      <c r="F291" s="1886"/>
      <c r="G291" s="1932"/>
      <c r="H291" s="1913"/>
      <c r="I291" s="1913"/>
      <c r="J291" s="1913"/>
    </row>
    <row r="292" spans="1:10" ht="15.75" customHeight="1" x14ac:dyDescent="0.2">
      <c r="A292" s="1304" t="s">
        <v>566</v>
      </c>
      <c r="B292" s="1276" t="s">
        <v>480</v>
      </c>
      <c r="C292" s="1883"/>
      <c r="D292" s="1886"/>
      <c r="E292" s="1886"/>
      <c r="F292" s="1886"/>
      <c r="G292" s="1932"/>
      <c r="H292" s="1913"/>
      <c r="I292" s="1913"/>
      <c r="J292" s="1913"/>
    </row>
    <row r="293" spans="1:10" ht="18" customHeight="1" x14ac:dyDescent="0.2">
      <c r="A293" s="1304" t="s">
        <v>567</v>
      </c>
      <c r="B293" s="1273" t="s">
        <v>481</v>
      </c>
      <c r="C293" s="1883"/>
      <c r="D293" s="1886"/>
      <c r="E293" s="1886"/>
      <c r="F293" s="1886"/>
      <c r="G293" s="1932"/>
      <c r="H293" s="1913"/>
      <c r="I293" s="1913"/>
      <c r="J293" s="1913"/>
    </row>
    <row r="294" spans="1:10" ht="18.75" customHeight="1" x14ac:dyDescent="0.2">
      <c r="A294" s="1304" t="s">
        <v>568</v>
      </c>
      <c r="B294" s="1273" t="s">
        <v>563</v>
      </c>
      <c r="C294" s="1883"/>
      <c r="D294" s="1886"/>
      <c r="E294" s="1886"/>
      <c r="F294" s="1886"/>
      <c r="G294" s="1932"/>
      <c r="H294" s="1913"/>
      <c r="I294" s="1913"/>
      <c r="J294" s="1913"/>
    </row>
    <row r="295" spans="1:10" ht="19.5" customHeight="1" x14ac:dyDescent="0.2">
      <c r="A295" s="1304" t="s">
        <v>569</v>
      </c>
      <c r="B295" s="1273" t="s">
        <v>623</v>
      </c>
      <c r="C295" s="1883"/>
      <c r="D295" s="1886"/>
      <c r="E295" s="1886"/>
      <c r="F295" s="1886"/>
      <c r="G295" s="1932"/>
      <c r="H295" s="1913"/>
      <c r="I295" s="1913"/>
      <c r="J295" s="1913"/>
    </row>
    <row r="296" spans="1:10" ht="18" customHeight="1" x14ac:dyDescent="0.2">
      <c r="A296" s="1304" t="s">
        <v>570</v>
      </c>
      <c r="B296" s="1273" t="s">
        <v>564</v>
      </c>
      <c r="C296" s="1883"/>
      <c r="D296" s="1886"/>
      <c r="E296" s="1886"/>
      <c r="F296" s="1886"/>
      <c r="G296" s="1932"/>
      <c r="H296" s="1913"/>
      <c r="I296" s="1913"/>
      <c r="J296" s="1913"/>
    </row>
    <row r="297" spans="1:10" ht="17.25" customHeight="1" x14ac:dyDescent="0.2">
      <c r="A297" s="1304" t="s">
        <v>571</v>
      </c>
      <c r="B297" s="1273" t="s">
        <v>742</v>
      </c>
      <c r="C297" s="1883"/>
      <c r="D297" s="1886"/>
      <c r="E297" s="1886"/>
      <c r="F297" s="1886"/>
      <c r="G297" s="1932"/>
      <c r="H297" s="1913"/>
      <c r="I297" s="1913"/>
      <c r="J297" s="1913"/>
    </row>
    <row r="298" spans="1:10" ht="18" customHeight="1" x14ac:dyDescent="0.2">
      <c r="A298" s="1304" t="s">
        <v>572</v>
      </c>
      <c r="B298" s="1273" t="s">
        <v>741</v>
      </c>
      <c r="C298" s="1884"/>
      <c r="D298" s="1887"/>
      <c r="E298" s="1887"/>
      <c r="F298" s="1887"/>
      <c r="G298" s="1933"/>
      <c r="H298" s="1914"/>
      <c r="I298" s="1914"/>
      <c r="J298" s="1914"/>
    </row>
    <row r="299" spans="1:10" ht="16.5" customHeight="1" x14ac:dyDescent="0.2">
      <c r="A299" s="1894" t="s">
        <v>485</v>
      </c>
      <c r="B299" s="1895"/>
      <c r="C299" s="1895"/>
      <c r="D299" s="1895"/>
      <c r="E299" s="1895"/>
      <c r="F299" s="1895"/>
      <c r="G299" s="1896"/>
      <c r="H299" s="1319">
        <f>H288+H291</f>
        <v>10000</v>
      </c>
      <c r="I299" s="1319">
        <f>I288+I291</f>
        <v>2430</v>
      </c>
      <c r="J299" s="1319">
        <f>J288+J291</f>
        <v>500</v>
      </c>
    </row>
    <row r="300" spans="1:10" ht="15.75" x14ac:dyDescent="0.25">
      <c r="A300" s="1888" t="s">
        <v>594</v>
      </c>
      <c r="B300" s="1889"/>
      <c r="C300" s="1889"/>
      <c r="D300" s="1889"/>
      <c r="E300" s="1889"/>
      <c r="F300" s="1889"/>
      <c r="G300" s="1890"/>
      <c r="H300" s="1310">
        <f>SUM(H259+H268+H279+H288)</f>
        <v>73225</v>
      </c>
      <c r="I300" s="1310">
        <f>SUM(I259+I268+I279+I288)</f>
        <v>121200</v>
      </c>
      <c r="J300" s="1310">
        <f>SUM(J259+J268+J279+J288)</f>
        <v>73225</v>
      </c>
    </row>
    <row r="301" spans="1:10" ht="15.75" x14ac:dyDescent="0.25">
      <c r="A301" s="1888" t="s">
        <v>595</v>
      </c>
      <c r="B301" s="1889"/>
      <c r="C301" s="1889"/>
      <c r="D301" s="1889"/>
      <c r="E301" s="1889"/>
      <c r="F301" s="1889"/>
      <c r="G301" s="1889"/>
      <c r="H301" s="1310">
        <f>SUM(H261+H271+H281+H291)</f>
        <v>73225</v>
      </c>
      <c r="I301" s="1310">
        <f>SUM(I261+I271+I281+I291)</f>
        <v>121200</v>
      </c>
      <c r="J301" s="1310">
        <f>SUM(J261+J271+J281+J291)</f>
        <v>73225</v>
      </c>
    </row>
    <row r="302" spans="1:10" ht="15" customHeight="1" x14ac:dyDescent="0.25">
      <c r="A302" s="1903" t="s">
        <v>487</v>
      </c>
      <c r="B302" s="1904"/>
      <c r="C302" s="1904"/>
      <c r="D302" s="1904"/>
      <c r="E302" s="1904"/>
      <c r="F302" s="1904"/>
      <c r="G302" s="1905"/>
      <c r="H302" s="1311">
        <f>H300+H301</f>
        <v>146450</v>
      </c>
      <c r="I302" s="1311">
        <f>I300+I301</f>
        <v>242400</v>
      </c>
      <c r="J302" s="1311">
        <f>J300+J301</f>
        <v>146450</v>
      </c>
    </row>
    <row r="303" spans="1:10" ht="15.75" x14ac:dyDescent="0.25">
      <c r="A303" s="1284" t="s">
        <v>805</v>
      </c>
      <c r="B303" s="1285"/>
      <c r="C303" s="1285"/>
      <c r="D303" s="1285"/>
      <c r="E303" s="1285"/>
      <c r="F303" s="1285"/>
      <c r="G303" s="1285"/>
      <c r="H303" s="1285"/>
      <c r="I303" s="1285"/>
      <c r="J303" s="1286"/>
    </row>
    <row r="304" spans="1:10" ht="15.75" x14ac:dyDescent="0.25">
      <c r="A304" s="1299" t="s">
        <v>806</v>
      </c>
      <c r="B304" s="1288"/>
      <c r="C304" s="1288"/>
      <c r="D304" s="1288"/>
      <c r="E304" s="1288"/>
      <c r="F304" s="1288"/>
      <c r="G304" s="1288"/>
      <c r="H304" s="1289"/>
      <c r="I304" s="1288"/>
      <c r="J304" s="1290"/>
    </row>
    <row r="305" spans="1:237" ht="31.5" x14ac:dyDescent="0.2">
      <c r="A305" s="1302" t="s">
        <v>386</v>
      </c>
      <c r="B305" s="1273" t="s">
        <v>687</v>
      </c>
      <c r="C305" s="1898" t="s">
        <v>444</v>
      </c>
      <c r="D305" s="1898">
        <v>2016</v>
      </c>
      <c r="E305" s="1898">
        <v>2018</v>
      </c>
      <c r="F305" s="1898" t="s">
        <v>356</v>
      </c>
      <c r="G305" s="1898" t="s">
        <v>36</v>
      </c>
      <c r="H305" s="1899">
        <v>21690</v>
      </c>
      <c r="I305" s="1899">
        <v>32350</v>
      </c>
      <c r="J305" s="1899">
        <v>32450</v>
      </c>
    </row>
    <row r="306" spans="1:237" ht="16.5" customHeight="1" x14ac:dyDescent="0.2">
      <c r="A306" s="1302" t="s">
        <v>387</v>
      </c>
      <c r="B306" s="1258" t="s">
        <v>688</v>
      </c>
      <c r="C306" s="1898"/>
      <c r="D306" s="1898"/>
      <c r="E306" s="1898"/>
      <c r="F306" s="1898"/>
      <c r="G306" s="1898"/>
      <c r="H306" s="1899"/>
      <c r="I306" s="1899"/>
      <c r="J306" s="1899"/>
    </row>
    <row r="307" spans="1:237" ht="33" customHeight="1" x14ac:dyDescent="0.2">
      <c r="A307" s="1302" t="s">
        <v>388</v>
      </c>
      <c r="B307" s="1258" t="s">
        <v>689</v>
      </c>
      <c r="C307" s="1898"/>
      <c r="D307" s="1898"/>
      <c r="E307" s="1898"/>
      <c r="F307" s="1898"/>
      <c r="G307" s="1898"/>
      <c r="H307" s="1899"/>
      <c r="I307" s="1899"/>
      <c r="J307" s="1899"/>
    </row>
    <row r="308" spans="1:237" ht="17.25" customHeight="1" x14ac:dyDescent="0.2">
      <c r="A308" s="1300" t="s">
        <v>389</v>
      </c>
      <c r="B308" s="1273" t="s">
        <v>574</v>
      </c>
      <c r="C308" s="1898"/>
      <c r="D308" s="1898"/>
      <c r="E308" s="1898"/>
      <c r="F308" s="1898"/>
      <c r="G308" s="1898"/>
      <c r="H308" s="1899">
        <v>19450</v>
      </c>
      <c r="I308" s="1899">
        <v>39590</v>
      </c>
      <c r="J308" s="1899">
        <v>18000</v>
      </c>
    </row>
    <row r="309" spans="1:237" ht="15.75" x14ac:dyDescent="0.2">
      <c r="A309" s="1296" t="s">
        <v>575</v>
      </c>
      <c r="B309" s="1273" t="s">
        <v>624</v>
      </c>
      <c r="C309" s="1898"/>
      <c r="D309" s="1898"/>
      <c r="E309" s="1898"/>
      <c r="F309" s="1898"/>
      <c r="G309" s="1898"/>
      <c r="H309" s="1899"/>
      <c r="I309" s="1899"/>
      <c r="J309" s="1899"/>
    </row>
    <row r="310" spans="1:237" ht="15.75" x14ac:dyDescent="0.2">
      <c r="A310" s="1296" t="s">
        <v>576</v>
      </c>
      <c r="B310" s="1273" t="s">
        <v>573</v>
      </c>
      <c r="C310" s="1898"/>
      <c r="D310" s="1898"/>
      <c r="E310" s="1898"/>
      <c r="F310" s="1898"/>
      <c r="G310" s="1898"/>
      <c r="H310" s="1899"/>
      <c r="I310" s="1899"/>
      <c r="J310" s="1899"/>
    </row>
    <row r="311" spans="1:237" ht="15" customHeight="1" x14ac:dyDescent="0.2">
      <c r="A311" s="1894" t="s">
        <v>485</v>
      </c>
      <c r="B311" s="1895"/>
      <c r="C311" s="1895"/>
      <c r="D311" s="1895"/>
      <c r="E311" s="1895"/>
      <c r="F311" s="1895"/>
      <c r="G311" s="1896"/>
      <c r="H311" s="1319">
        <f>H305+H308</f>
        <v>41140</v>
      </c>
      <c r="I311" s="1319">
        <f>I305+I308</f>
        <v>71940</v>
      </c>
      <c r="J311" s="1319">
        <f>J305+J308</f>
        <v>50450</v>
      </c>
    </row>
    <row r="312" spans="1:237" ht="13.5" customHeight="1" x14ac:dyDescent="0.25">
      <c r="A312" s="1299" t="s">
        <v>807</v>
      </c>
      <c r="B312" s="1288"/>
      <c r="C312" s="1288"/>
      <c r="D312" s="1288"/>
      <c r="E312" s="1288"/>
      <c r="F312" s="1288"/>
      <c r="G312" s="1288"/>
      <c r="H312" s="1289"/>
      <c r="I312" s="1288"/>
      <c r="J312" s="1290"/>
    </row>
    <row r="313" spans="1:237" ht="15.75" customHeight="1" x14ac:dyDescent="0.2">
      <c r="A313" s="1300" t="s">
        <v>390</v>
      </c>
      <c r="B313" s="1300" t="s">
        <v>656</v>
      </c>
      <c r="C313" s="1891" t="s">
        <v>429</v>
      </c>
      <c r="D313" s="1898">
        <v>2016</v>
      </c>
      <c r="E313" s="1898">
        <v>2018</v>
      </c>
      <c r="F313" s="1891" t="s">
        <v>356</v>
      </c>
      <c r="G313" s="1891" t="s">
        <v>36</v>
      </c>
      <c r="H313" s="1891">
        <v>1260</v>
      </c>
      <c r="I313" s="1891">
        <v>0</v>
      </c>
      <c r="J313" s="1891">
        <v>0</v>
      </c>
    </row>
    <row r="314" spans="1:237" ht="15.75" customHeight="1" x14ac:dyDescent="0.2">
      <c r="A314" s="1300" t="s">
        <v>462</v>
      </c>
      <c r="B314" s="1300" t="s">
        <v>749</v>
      </c>
      <c r="C314" s="1892"/>
      <c r="D314" s="1898"/>
      <c r="E314" s="1898"/>
      <c r="F314" s="1892"/>
      <c r="G314" s="1892"/>
      <c r="H314" s="1893"/>
      <c r="I314" s="1893"/>
      <c r="J314" s="1893"/>
    </row>
    <row r="315" spans="1:237" ht="17.25" customHeight="1" x14ac:dyDescent="0.2">
      <c r="A315" s="1302" t="s">
        <v>463</v>
      </c>
      <c r="B315" s="1273" t="s">
        <v>578</v>
      </c>
      <c r="C315" s="1892"/>
      <c r="D315" s="1898"/>
      <c r="E315" s="1898"/>
      <c r="F315" s="1892"/>
      <c r="G315" s="1892"/>
      <c r="H315" s="1891">
        <v>13500</v>
      </c>
      <c r="I315" s="1891">
        <v>0</v>
      </c>
      <c r="J315" s="1891">
        <v>0</v>
      </c>
    </row>
    <row r="316" spans="1:237" ht="31.5" x14ac:dyDescent="0.2">
      <c r="A316" s="1302" t="s">
        <v>577</v>
      </c>
      <c r="B316" s="1276" t="s">
        <v>625</v>
      </c>
      <c r="C316" s="1892"/>
      <c r="D316" s="1891"/>
      <c r="E316" s="1891"/>
      <c r="F316" s="1892"/>
      <c r="G316" s="1892"/>
      <c r="H316" s="1893"/>
      <c r="I316" s="1893"/>
      <c r="J316" s="1893"/>
    </row>
    <row r="317" spans="1:237" ht="13.5" customHeight="1" x14ac:dyDescent="0.2">
      <c r="A317" s="1894" t="s">
        <v>485</v>
      </c>
      <c r="B317" s="1895"/>
      <c r="C317" s="1895"/>
      <c r="D317" s="1895"/>
      <c r="E317" s="1895"/>
      <c r="F317" s="1895"/>
      <c r="G317" s="1896"/>
      <c r="H317" s="1319">
        <f>H313+H315</f>
        <v>14760</v>
      </c>
      <c r="I317" s="1319">
        <f>I313+I315</f>
        <v>0</v>
      </c>
      <c r="J317" s="1319">
        <f>J313+J315</f>
        <v>0</v>
      </c>
      <c r="IC317" s="1260"/>
    </row>
    <row r="318" spans="1:237" ht="15" customHeight="1" x14ac:dyDescent="0.25">
      <c r="A318" s="1299" t="s">
        <v>808</v>
      </c>
      <c r="B318" s="1288"/>
      <c r="C318" s="1288"/>
      <c r="D318" s="1288"/>
      <c r="E318" s="1288"/>
      <c r="F318" s="1288"/>
      <c r="G318" s="1288"/>
      <c r="H318" s="1289"/>
      <c r="I318" s="1288"/>
      <c r="J318" s="1290"/>
    </row>
    <row r="319" spans="1:237" ht="15.75" customHeight="1" x14ac:dyDescent="0.2">
      <c r="A319" s="1300" t="s">
        <v>391</v>
      </c>
      <c r="B319" s="1300" t="s">
        <v>656</v>
      </c>
      <c r="C319" s="1891" t="s">
        <v>396</v>
      </c>
      <c r="D319" s="1898">
        <v>2016</v>
      </c>
      <c r="E319" s="1898">
        <v>2018</v>
      </c>
      <c r="F319" s="1891" t="s">
        <v>356</v>
      </c>
      <c r="G319" s="1891" t="s">
        <v>36</v>
      </c>
      <c r="H319" s="1882">
        <v>0</v>
      </c>
      <c r="I319" s="1891">
        <v>19760</v>
      </c>
      <c r="J319" s="1891">
        <v>0</v>
      </c>
    </row>
    <row r="320" spans="1:237" ht="15.75" customHeight="1" x14ac:dyDescent="0.2">
      <c r="A320" s="1300" t="s">
        <v>464</v>
      </c>
      <c r="B320" s="1300" t="s">
        <v>749</v>
      </c>
      <c r="C320" s="1892"/>
      <c r="D320" s="1898"/>
      <c r="E320" s="1898"/>
      <c r="F320" s="1892"/>
      <c r="G320" s="1892"/>
      <c r="H320" s="1884"/>
      <c r="I320" s="1893"/>
      <c r="J320" s="1893"/>
    </row>
    <row r="321" spans="1:10" ht="16.5" customHeight="1" x14ac:dyDescent="0.2">
      <c r="A321" s="1302" t="s">
        <v>579</v>
      </c>
      <c r="B321" s="1273" t="s">
        <v>578</v>
      </c>
      <c r="C321" s="1892"/>
      <c r="D321" s="1898"/>
      <c r="E321" s="1898"/>
      <c r="F321" s="1892"/>
      <c r="G321" s="1892"/>
      <c r="H321" s="1882">
        <v>0</v>
      </c>
      <c r="I321" s="1891">
        <v>14950</v>
      </c>
      <c r="J321" s="1891">
        <v>14950</v>
      </c>
    </row>
    <row r="322" spans="1:10" ht="32.25" customHeight="1" x14ac:dyDescent="0.2">
      <c r="A322" s="1302" t="s">
        <v>580</v>
      </c>
      <c r="B322" s="1276" t="s">
        <v>625</v>
      </c>
      <c r="C322" s="1892"/>
      <c r="D322" s="1891"/>
      <c r="E322" s="1891"/>
      <c r="F322" s="1892"/>
      <c r="G322" s="1892"/>
      <c r="H322" s="1883"/>
      <c r="I322" s="1892"/>
      <c r="J322" s="1892"/>
    </row>
    <row r="323" spans="1:10" ht="16.5" customHeight="1" x14ac:dyDescent="0.2">
      <c r="A323" s="1302" t="s">
        <v>581</v>
      </c>
      <c r="B323" s="1302" t="s">
        <v>657</v>
      </c>
      <c r="C323" s="1898" t="s">
        <v>396</v>
      </c>
      <c r="D323" s="1898">
        <v>2019</v>
      </c>
      <c r="E323" s="1898">
        <v>2021</v>
      </c>
      <c r="F323" s="1898" t="s">
        <v>356</v>
      </c>
      <c r="G323" s="1898" t="s">
        <v>36</v>
      </c>
      <c r="H323" s="1899">
        <v>0</v>
      </c>
      <c r="I323" s="1898">
        <v>0</v>
      </c>
      <c r="J323" s="1898">
        <v>0</v>
      </c>
    </row>
    <row r="324" spans="1:10" ht="15.75" customHeight="1" x14ac:dyDescent="0.2">
      <c r="A324" s="1302" t="s">
        <v>748</v>
      </c>
      <c r="B324" s="1302" t="s">
        <v>658</v>
      </c>
      <c r="C324" s="1898"/>
      <c r="D324" s="1898"/>
      <c r="E324" s="1898"/>
      <c r="F324" s="1898"/>
      <c r="G324" s="1898"/>
      <c r="H324" s="1899"/>
      <c r="I324" s="1898"/>
      <c r="J324" s="1898"/>
    </row>
    <row r="325" spans="1:10" ht="16.5" customHeight="1" x14ac:dyDescent="0.2">
      <c r="A325" s="1894" t="s">
        <v>485</v>
      </c>
      <c r="B325" s="1895"/>
      <c r="C325" s="1895"/>
      <c r="D325" s="1895"/>
      <c r="E325" s="1895"/>
      <c r="F325" s="1895"/>
      <c r="G325" s="1896"/>
      <c r="H325" s="1319">
        <f>H319+H321</f>
        <v>0</v>
      </c>
      <c r="I325" s="1319">
        <f>I319+I321</f>
        <v>34710</v>
      </c>
      <c r="J325" s="1319">
        <f>J319+J321</f>
        <v>14950</v>
      </c>
    </row>
    <row r="326" spans="1:10" ht="12.75" customHeight="1" x14ac:dyDescent="0.25">
      <c r="A326" s="1922" t="s">
        <v>606</v>
      </c>
      <c r="B326" s="1923"/>
      <c r="C326" s="1923"/>
      <c r="D326" s="1923"/>
      <c r="E326" s="1923"/>
      <c r="F326" s="1923"/>
      <c r="G326" s="1923"/>
      <c r="H326" s="1923"/>
      <c r="I326" s="1923"/>
      <c r="J326" s="1924"/>
    </row>
    <row r="327" spans="1:10" ht="15" customHeight="1" x14ac:dyDescent="0.2">
      <c r="A327" s="1304" t="s">
        <v>392</v>
      </c>
      <c r="B327" s="1279" t="s">
        <v>659</v>
      </c>
      <c r="C327" s="1882" t="s">
        <v>397</v>
      </c>
      <c r="D327" s="1885">
        <v>2016</v>
      </c>
      <c r="E327" s="1879">
        <v>2018</v>
      </c>
      <c r="F327" s="1882" t="s">
        <v>356</v>
      </c>
      <c r="G327" s="1885" t="s">
        <v>36</v>
      </c>
      <c r="H327" s="1882">
        <v>10000</v>
      </c>
      <c r="I327" s="1882">
        <v>2430</v>
      </c>
      <c r="J327" s="1882">
        <v>500</v>
      </c>
    </row>
    <row r="328" spans="1:10" ht="15" customHeight="1" x14ac:dyDescent="0.2">
      <c r="A328" s="1304" t="s">
        <v>465</v>
      </c>
      <c r="B328" s="1280" t="s">
        <v>660</v>
      </c>
      <c r="C328" s="1883"/>
      <c r="D328" s="1886"/>
      <c r="E328" s="1880"/>
      <c r="F328" s="1883"/>
      <c r="G328" s="1886"/>
      <c r="H328" s="1883"/>
      <c r="I328" s="1883"/>
      <c r="J328" s="1883"/>
    </row>
    <row r="329" spans="1:10" ht="16.5" customHeight="1" x14ac:dyDescent="0.25">
      <c r="A329" s="1350" t="s">
        <v>466</v>
      </c>
      <c r="B329" s="1280" t="s">
        <v>743</v>
      </c>
      <c r="C329" s="1883"/>
      <c r="D329" s="1886"/>
      <c r="E329" s="1880"/>
      <c r="F329" s="1883"/>
      <c r="G329" s="1886"/>
      <c r="H329" s="1883"/>
      <c r="I329" s="1883"/>
      <c r="J329" s="1883"/>
    </row>
    <row r="330" spans="1:10" ht="18" customHeight="1" x14ac:dyDescent="0.25">
      <c r="A330" s="1350" t="s">
        <v>582</v>
      </c>
      <c r="B330" s="1316" t="s">
        <v>482</v>
      </c>
      <c r="C330" s="1883"/>
      <c r="D330" s="1886"/>
      <c r="E330" s="1880"/>
      <c r="F330" s="1883"/>
      <c r="G330" s="1886"/>
      <c r="H330" s="1883"/>
      <c r="I330" s="1883"/>
      <c r="J330" s="1883"/>
    </row>
    <row r="331" spans="1:10" ht="18" customHeight="1" x14ac:dyDescent="0.25">
      <c r="A331" s="1350" t="s">
        <v>744</v>
      </c>
      <c r="B331" s="1296" t="s">
        <v>745</v>
      </c>
      <c r="C331" s="1883"/>
      <c r="D331" s="1886"/>
      <c r="E331" s="1880"/>
      <c r="F331" s="1883"/>
      <c r="G331" s="1886"/>
      <c r="H331" s="1883"/>
      <c r="I331" s="1883"/>
      <c r="J331" s="1883"/>
    </row>
    <row r="332" spans="1:10" ht="18" customHeight="1" x14ac:dyDescent="0.25">
      <c r="A332" s="1350" t="s">
        <v>746</v>
      </c>
      <c r="B332" s="1296" t="s">
        <v>776</v>
      </c>
      <c r="C332" s="1883"/>
      <c r="D332" s="1886"/>
      <c r="E332" s="1880"/>
      <c r="F332" s="1883"/>
      <c r="G332" s="1886"/>
      <c r="H332" s="1883"/>
      <c r="I332" s="1883"/>
      <c r="J332" s="1883"/>
    </row>
    <row r="333" spans="1:10" ht="18" customHeight="1" x14ac:dyDescent="0.25">
      <c r="A333" s="1350" t="s">
        <v>747</v>
      </c>
      <c r="B333" s="1296" t="s">
        <v>775</v>
      </c>
      <c r="C333" s="1884"/>
      <c r="D333" s="1887"/>
      <c r="E333" s="1881"/>
      <c r="F333" s="1884"/>
      <c r="G333" s="1887"/>
      <c r="H333" s="1884"/>
      <c r="I333" s="1884"/>
      <c r="J333" s="1884"/>
    </row>
    <row r="334" spans="1:10" ht="15" customHeight="1" x14ac:dyDescent="0.2">
      <c r="A334" s="1894" t="s">
        <v>485</v>
      </c>
      <c r="B334" s="1895"/>
      <c r="C334" s="1895"/>
      <c r="D334" s="1895"/>
      <c r="E334" s="1895"/>
      <c r="F334" s="1895"/>
      <c r="G334" s="1896"/>
      <c r="H334" s="1319">
        <f>H327+H330</f>
        <v>10000</v>
      </c>
      <c r="I334" s="1319">
        <f>I327+I330</f>
        <v>2430</v>
      </c>
      <c r="J334" s="1319">
        <f>J327+J330</f>
        <v>500</v>
      </c>
    </row>
    <row r="335" spans="1:10" ht="15.75" x14ac:dyDescent="0.25">
      <c r="A335" s="1888" t="s">
        <v>594</v>
      </c>
      <c r="B335" s="1889"/>
      <c r="C335" s="1889"/>
      <c r="D335" s="1889"/>
      <c r="E335" s="1889"/>
      <c r="F335" s="1889"/>
      <c r="G335" s="1890"/>
      <c r="H335" s="1310">
        <f>SUM(H305+H313+H319+H327)</f>
        <v>32950</v>
      </c>
      <c r="I335" s="1310">
        <f>SUM(I305+I313+I319+I327)</f>
        <v>54540</v>
      </c>
      <c r="J335" s="1310">
        <f>SUM(J305+J313+J319+J327)</f>
        <v>32950</v>
      </c>
    </row>
    <row r="336" spans="1:10" ht="15.75" x14ac:dyDescent="0.25">
      <c r="A336" s="1888" t="s">
        <v>595</v>
      </c>
      <c r="B336" s="1889"/>
      <c r="C336" s="1889"/>
      <c r="D336" s="1889"/>
      <c r="E336" s="1889"/>
      <c r="F336" s="1889"/>
      <c r="G336" s="1889"/>
      <c r="H336" s="1310">
        <f>SUM(H308+H315+H321+H330)</f>
        <v>32950</v>
      </c>
      <c r="I336" s="1310">
        <f>I308++I321+I330</f>
        <v>54540</v>
      </c>
      <c r="J336" s="1310">
        <f>J308+J321+J330</f>
        <v>32950</v>
      </c>
    </row>
    <row r="337" spans="1:10" ht="15.75" x14ac:dyDescent="0.25">
      <c r="A337" s="1903" t="s">
        <v>487</v>
      </c>
      <c r="B337" s="1904"/>
      <c r="C337" s="1904"/>
      <c r="D337" s="1904"/>
      <c r="E337" s="1904"/>
      <c r="F337" s="1904"/>
      <c r="G337" s="1905"/>
      <c r="H337" s="1311">
        <f>H335+H336</f>
        <v>65900</v>
      </c>
      <c r="I337" s="1311">
        <f>I335+I336</f>
        <v>109080</v>
      </c>
      <c r="J337" s="1311">
        <f>J335+J336</f>
        <v>65900</v>
      </c>
    </row>
    <row r="338" spans="1:10" ht="15.75" x14ac:dyDescent="0.25">
      <c r="A338" s="1900" t="s">
        <v>607</v>
      </c>
      <c r="B338" s="1901"/>
      <c r="C338" s="1901"/>
      <c r="D338" s="1901"/>
      <c r="E338" s="1901"/>
      <c r="F338" s="1901"/>
      <c r="G338" s="1902"/>
      <c r="H338" s="1356">
        <f>SUM(H34+H74+H116+H144+H158+H188+H221+H254+H300+H335)</f>
        <v>362550</v>
      </c>
      <c r="I338" s="1356">
        <f>I34+I74+I116+I144+I158+I188+I221+I254+I300+I335</f>
        <v>600000</v>
      </c>
      <c r="J338" s="1356">
        <f>J34+J74+J116+J144+J158+J188+J221+J254+J300+J335</f>
        <v>362500</v>
      </c>
    </row>
    <row r="339" spans="1:10" ht="15.75" x14ac:dyDescent="0.25">
      <c r="A339" s="1900" t="s">
        <v>608</v>
      </c>
      <c r="B339" s="1901"/>
      <c r="C339" s="1901"/>
      <c r="D339" s="1901"/>
      <c r="E339" s="1901"/>
      <c r="F339" s="1901"/>
      <c r="G339" s="1902"/>
      <c r="H339" s="1356">
        <f>SUM(H35+H75+H117+H145+H159+H189+H222+H255+H301+H336)</f>
        <v>405950</v>
      </c>
      <c r="I339" s="1356">
        <f>SUM(I35+I75+I117+I145+I159+I189+I222+I255+I301+I336)</f>
        <v>600000</v>
      </c>
      <c r="J339" s="1356">
        <f>SUM(J35+J75+J117+J145+J159+J189+J222+J255+J301+J336)</f>
        <v>362500</v>
      </c>
    </row>
    <row r="340" spans="1:10" ht="15.75" x14ac:dyDescent="0.25">
      <c r="A340" s="1900" t="s">
        <v>21</v>
      </c>
      <c r="B340" s="1901"/>
      <c r="C340" s="1901"/>
      <c r="D340" s="1901"/>
      <c r="E340" s="1901"/>
      <c r="F340" s="1901"/>
      <c r="G340" s="1902"/>
      <c r="H340" s="1356">
        <f>H338+H339</f>
        <v>768500</v>
      </c>
      <c r="I340" s="1356">
        <f>I338+I339</f>
        <v>1200000</v>
      </c>
      <c r="J340" s="1356">
        <f>J338+J339</f>
        <v>725000</v>
      </c>
    </row>
    <row r="341" spans="1:10" ht="15.75" x14ac:dyDescent="0.25">
      <c r="A341" s="1900" t="s">
        <v>752</v>
      </c>
      <c r="B341" s="1901"/>
      <c r="C341" s="1901"/>
      <c r="D341" s="1901"/>
      <c r="E341" s="1901"/>
      <c r="F341" s="1901"/>
      <c r="G341" s="1902"/>
      <c r="H341" s="1356">
        <v>725100</v>
      </c>
      <c r="I341" s="1356">
        <v>1200000</v>
      </c>
      <c r="J341" s="1356">
        <v>725000</v>
      </c>
    </row>
    <row r="342" spans="1:10" ht="15.75" x14ac:dyDescent="0.25">
      <c r="A342" s="1900" t="s">
        <v>753</v>
      </c>
      <c r="B342" s="1901"/>
      <c r="C342" s="1901"/>
      <c r="D342" s="1901"/>
      <c r="E342" s="1901"/>
      <c r="F342" s="1901"/>
      <c r="G342" s="1902"/>
      <c r="H342" s="1356">
        <v>43400</v>
      </c>
      <c r="I342" s="1356">
        <v>0</v>
      </c>
      <c r="J342" s="1356">
        <v>0</v>
      </c>
    </row>
    <row r="343" spans="1:10" ht="15.75" x14ac:dyDescent="0.25">
      <c r="A343" s="1357" t="s">
        <v>477</v>
      </c>
      <c r="B343" s="1357"/>
      <c r="C343" s="1357"/>
      <c r="D343" s="1357"/>
      <c r="E343" s="1358"/>
      <c r="F343" s="1358"/>
      <c r="G343" s="1358"/>
      <c r="H343" s="1359"/>
      <c r="I343" s="1358"/>
      <c r="J343" s="1358"/>
    </row>
    <row r="344" spans="1:10" ht="15.75" x14ac:dyDescent="0.25">
      <c r="A344" s="1357" t="s">
        <v>478</v>
      </c>
      <c r="B344" s="1357"/>
      <c r="C344" s="1357"/>
      <c r="D344" s="1357"/>
      <c r="E344" s="1358"/>
      <c r="F344" s="1358"/>
      <c r="G344" s="1358"/>
      <c r="H344" s="1359"/>
      <c r="I344" s="1358"/>
      <c r="J344" s="1358"/>
    </row>
    <row r="345" spans="1:10" ht="15.75" x14ac:dyDescent="0.25">
      <c r="A345" s="1357" t="s">
        <v>627</v>
      </c>
      <c r="B345" s="1357"/>
      <c r="C345" s="1357"/>
      <c r="D345" s="1357"/>
      <c r="E345" s="1358"/>
      <c r="F345" s="1358"/>
      <c r="G345" s="1358"/>
      <c r="H345" s="1359"/>
      <c r="I345" s="1358"/>
      <c r="J345" s="1360"/>
    </row>
    <row r="346" spans="1:10" ht="15.75" x14ac:dyDescent="0.25">
      <c r="A346" s="1357" t="s">
        <v>626</v>
      </c>
      <c r="B346" s="1357"/>
      <c r="C346" s="1357"/>
      <c r="D346" s="1357"/>
      <c r="E346" s="1358"/>
      <c r="F346" s="1358"/>
      <c r="G346" s="1358"/>
      <c r="H346" s="1359"/>
      <c r="I346" s="1358"/>
      <c r="J346" s="1358"/>
    </row>
    <row r="347" spans="1:10" ht="15.75" x14ac:dyDescent="0.25">
      <c r="A347" s="1362" t="s">
        <v>750</v>
      </c>
      <c r="B347" s="1362"/>
      <c r="C347" s="1362"/>
    </row>
    <row r="376" spans="8:8" x14ac:dyDescent="0.2">
      <c r="H376"/>
    </row>
    <row r="377" spans="8:8" x14ac:dyDescent="0.2">
      <c r="H377"/>
    </row>
    <row r="378" spans="8:8" x14ac:dyDescent="0.2">
      <c r="H378"/>
    </row>
    <row r="379" spans="8:8" x14ac:dyDescent="0.2">
      <c r="H379"/>
    </row>
    <row r="380" spans="8:8" x14ac:dyDescent="0.2">
      <c r="H380"/>
    </row>
    <row r="381" spans="8:8" x14ac:dyDescent="0.2">
      <c r="H381"/>
    </row>
    <row r="382" spans="8:8" x14ac:dyDescent="0.2">
      <c r="H382"/>
    </row>
    <row r="383" spans="8:8" x14ac:dyDescent="0.2">
      <c r="H383"/>
    </row>
    <row r="384" spans="8:8" x14ac:dyDescent="0.2">
      <c r="H384"/>
    </row>
    <row r="385" spans="8:8" x14ac:dyDescent="0.2">
      <c r="H385"/>
    </row>
    <row r="386" spans="8:8" x14ac:dyDescent="0.2">
      <c r="H386"/>
    </row>
    <row r="387" spans="8:8" x14ac:dyDescent="0.2">
      <c r="H387"/>
    </row>
    <row r="388" spans="8:8" x14ac:dyDescent="0.2">
      <c r="H388"/>
    </row>
    <row r="389" spans="8:8" x14ac:dyDescent="0.2">
      <c r="H389"/>
    </row>
    <row r="390" spans="8:8" x14ac:dyDescent="0.2">
      <c r="H390"/>
    </row>
    <row r="391" spans="8:8" x14ac:dyDescent="0.2">
      <c r="H391"/>
    </row>
    <row r="392" spans="8:8" x14ac:dyDescent="0.2">
      <c r="H392"/>
    </row>
    <row r="393" spans="8:8" x14ac:dyDescent="0.2">
      <c r="H393"/>
    </row>
    <row r="394" spans="8:8" x14ac:dyDescent="0.2">
      <c r="H394"/>
    </row>
    <row r="395" spans="8:8" x14ac:dyDescent="0.2">
      <c r="H395"/>
    </row>
    <row r="396" spans="8:8" x14ac:dyDescent="0.2">
      <c r="H396"/>
    </row>
    <row r="397" spans="8:8" x14ac:dyDescent="0.2">
      <c r="H397"/>
    </row>
    <row r="398" spans="8:8" x14ac:dyDescent="0.2">
      <c r="H398"/>
    </row>
    <row r="399" spans="8:8" x14ac:dyDescent="0.2">
      <c r="H399"/>
    </row>
    <row r="400" spans="8:8" x14ac:dyDescent="0.2">
      <c r="H400"/>
    </row>
    <row r="401" spans="8:8" x14ac:dyDescent="0.2">
      <c r="H401"/>
    </row>
    <row r="402" spans="8:8" x14ac:dyDescent="0.2">
      <c r="H402"/>
    </row>
    <row r="403" spans="8:8" x14ac:dyDescent="0.2">
      <c r="H403"/>
    </row>
    <row r="404" spans="8:8" x14ac:dyDescent="0.2">
      <c r="H404"/>
    </row>
    <row r="405" spans="8:8" x14ac:dyDescent="0.2">
      <c r="H405"/>
    </row>
    <row r="406" spans="8:8" x14ac:dyDescent="0.2">
      <c r="H406"/>
    </row>
    <row r="407" spans="8:8" x14ac:dyDescent="0.2">
      <c r="H407"/>
    </row>
    <row r="408" spans="8:8" x14ac:dyDescent="0.2">
      <c r="H408"/>
    </row>
    <row r="409" spans="8:8" x14ac:dyDescent="0.2">
      <c r="H409"/>
    </row>
    <row r="410" spans="8:8" x14ac:dyDescent="0.2">
      <c r="H410"/>
    </row>
    <row r="411" spans="8:8" x14ac:dyDescent="0.2">
      <c r="H411"/>
    </row>
    <row r="412" spans="8:8" x14ac:dyDescent="0.2">
      <c r="H412"/>
    </row>
    <row r="413" spans="8:8" x14ac:dyDescent="0.2">
      <c r="H413"/>
    </row>
    <row r="414" spans="8:8" x14ac:dyDescent="0.2">
      <c r="H414"/>
    </row>
    <row r="415" spans="8:8" x14ac:dyDescent="0.2">
      <c r="H415"/>
    </row>
    <row r="416" spans="8:8" x14ac:dyDescent="0.2">
      <c r="H416"/>
    </row>
    <row r="417" spans="8:8" x14ac:dyDescent="0.2">
      <c r="H417"/>
    </row>
    <row r="418" spans="8:8" x14ac:dyDescent="0.2">
      <c r="H418"/>
    </row>
  </sheetData>
  <mergeCells count="453">
    <mergeCell ref="H327:H333"/>
    <mergeCell ref="I327:I333"/>
    <mergeCell ref="J327:J333"/>
    <mergeCell ref="C323:C324"/>
    <mergeCell ref="F323:F324"/>
    <mergeCell ref="J244:J252"/>
    <mergeCell ref="C232:C235"/>
    <mergeCell ref="F232:F235"/>
    <mergeCell ref="G232:G235"/>
    <mergeCell ref="C238:C241"/>
    <mergeCell ref="A341:G341"/>
    <mergeCell ref="A342:G342"/>
    <mergeCell ref="C327:C333"/>
    <mergeCell ref="D327:D333"/>
    <mergeCell ref="E327:E333"/>
    <mergeCell ref="F327:F333"/>
    <mergeCell ref="G327:G333"/>
    <mergeCell ref="H319:H320"/>
    <mergeCell ref="I319:I320"/>
    <mergeCell ref="A326:J326"/>
    <mergeCell ref="A325:G325"/>
    <mergeCell ref="D319:D322"/>
    <mergeCell ref="E319:E322"/>
    <mergeCell ref="D323:D324"/>
    <mergeCell ref="E323:E324"/>
    <mergeCell ref="J323:J324"/>
    <mergeCell ref="A340:G340"/>
    <mergeCell ref="J321:J322"/>
    <mergeCell ref="J319:J320"/>
    <mergeCell ref="D244:D252"/>
    <mergeCell ref="E244:E252"/>
    <mergeCell ref="F244:F252"/>
    <mergeCell ref="G244:G252"/>
    <mergeCell ref="H244:H252"/>
    <mergeCell ref="J313:J314"/>
    <mergeCell ref="E209:E219"/>
    <mergeCell ref="F209:F219"/>
    <mergeCell ref="G209:G219"/>
    <mergeCell ref="H209:H219"/>
    <mergeCell ref="I209:I219"/>
    <mergeCell ref="J209:J219"/>
    <mergeCell ref="H279:H280"/>
    <mergeCell ref="I279:I280"/>
    <mergeCell ref="J279:J280"/>
    <mergeCell ref="A277:G277"/>
    <mergeCell ref="J281:J285"/>
    <mergeCell ref="G279:G285"/>
    <mergeCell ref="F279:F285"/>
    <mergeCell ref="H288:H298"/>
    <mergeCell ref="I288:I298"/>
    <mergeCell ref="J288:J298"/>
    <mergeCell ref="C305:C310"/>
    <mergeCell ref="I244:I252"/>
    <mergeCell ref="A242:G242"/>
    <mergeCell ref="H138:H142"/>
    <mergeCell ref="I138:I142"/>
    <mergeCell ref="A187:G187"/>
    <mergeCell ref="A158:G158"/>
    <mergeCell ref="I154:I156"/>
    <mergeCell ref="I163:I164"/>
    <mergeCell ref="A166:G166"/>
    <mergeCell ref="A145:G145"/>
    <mergeCell ref="A175:J175"/>
    <mergeCell ref="A189:G189"/>
    <mergeCell ref="A190:G190"/>
    <mergeCell ref="D163:D165"/>
    <mergeCell ref="E163:E165"/>
    <mergeCell ref="H163:H164"/>
    <mergeCell ref="D172:D173"/>
    <mergeCell ref="E172:E173"/>
    <mergeCell ref="A170:G170"/>
    <mergeCell ref="F238:F241"/>
    <mergeCell ref="H239:H241"/>
    <mergeCell ref="I239:I241"/>
    <mergeCell ref="J239:J241"/>
    <mergeCell ref="G176:G186"/>
    <mergeCell ref="H176:H186"/>
    <mergeCell ref="I176:I186"/>
    <mergeCell ref="J176:J186"/>
    <mergeCell ref="G154:G156"/>
    <mergeCell ref="H154:H156"/>
    <mergeCell ref="C172:C173"/>
    <mergeCell ref="F172:F173"/>
    <mergeCell ref="G172:G173"/>
    <mergeCell ref="F163:F165"/>
    <mergeCell ref="G163:G165"/>
    <mergeCell ref="C168:C169"/>
    <mergeCell ref="F168:F169"/>
    <mergeCell ref="G168:G169"/>
    <mergeCell ref="D168:D169"/>
    <mergeCell ref="E168:E169"/>
    <mergeCell ref="A157:G157"/>
    <mergeCell ref="A159:G159"/>
    <mergeCell ref="A160:G160"/>
    <mergeCell ref="A207:G207"/>
    <mergeCell ref="C204:C206"/>
    <mergeCell ref="A208:J208"/>
    <mergeCell ref="A222:G222"/>
    <mergeCell ref="A223:G223"/>
    <mergeCell ref="A230:G230"/>
    <mergeCell ref="I200:I201"/>
    <mergeCell ref="C209:C219"/>
    <mergeCell ref="D209:D219"/>
    <mergeCell ref="A220:G220"/>
    <mergeCell ref="C228:C229"/>
    <mergeCell ref="D228:D229"/>
    <mergeCell ref="E228:E229"/>
    <mergeCell ref="F228:F229"/>
    <mergeCell ref="G228:G229"/>
    <mergeCell ref="H228:H229"/>
    <mergeCell ref="A115:G115"/>
    <mergeCell ref="I261:I265"/>
    <mergeCell ref="A256:G256"/>
    <mergeCell ref="I259:I260"/>
    <mergeCell ref="A257:J257"/>
    <mergeCell ref="H261:H265"/>
    <mergeCell ref="G238:G241"/>
    <mergeCell ref="C133:C135"/>
    <mergeCell ref="A118:G118"/>
    <mergeCell ref="A124:G124"/>
    <mergeCell ref="D121:D123"/>
    <mergeCell ref="A120:J120"/>
    <mergeCell ref="H121:H122"/>
    <mergeCell ref="E126:E130"/>
    <mergeCell ref="F126:F130"/>
    <mergeCell ref="J121:J122"/>
    <mergeCell ref="G126:G130"/>
    <mergeCell ref="H127:H130"/>
    <mergeCell ref="I127:I130"/>
    <mergeCell ref="J127:J130"/>
    <mergeCell ref="A188:G188"/>
    <mergeCell ref="I195:I196"/>
    <mergeCell ref="J195:J196"/>
    <mergeCell ref="C163:C165"/>
    <mergeCell ref="C95:C96"/>
    <mergeCell ref="F95:F96"/>
    <mergeCell ref="G95:G96"/>
    <mergeCell ref="A94:J94"/>
    <mergeCell ref="D95:D96"/>
    <mergeCell ref="E95:E96"/>
    <mergeCell ref="D84:D90"/>
    <mergeCell ref="E84:E90"/>
    <mergeCell ref="D91:D92"/>
    <mergeCell ref="E91:E92"/>
    <mergeCell ref="H85:H90"/>
    <mergeCell ref="I85:I90"/>
    <mergeCell ref="J85:J90"/>
    <mergeCell ref="H91:H92"/>
    <mergeCell ref="I91:I92"/>
    <mergeCell ref="J91:J92"/>
    <mergeCell ref="C91:C92"/>
    <mergeCell ref="F91:F92"/>
    <mergeCell ref="G91:G92"/>
    <mergeCell ref="A93:G93"/>
    <mergeCell ref="A75:G75"/>
    <mergeCell ref="A76:G76"/>
    <mergeCell ref="H79:H80"/>
    <mergeCell ref="I79:I80"/>
    <mergeCell ref="J79:J80"/>
    <mergeCell ref="D79:D81"/>
    <mergeCell ref="E79:E81"/>
    <mergeCell ref="C84:C90"/>
    <mergeCell ref="F84:F90"/>
    <mergeCell ref="G84:G90"/>
    <mergeCell ref="C79:C81"/>
    <mergeCell ref="G79:G81"/>
    <mergeCell ref="F79:F81"/>
    <mergeCell ref="I15:I17"/>
    <mergeCell ref="J15:J17"/>
    <mergeCell ref="H21:H22"/>
    <mergeCell ref="I21:I22"/>
    <mergeCell ref="J21:J22"/>
    <mergeCell ref="A36:G36"/>
    <mergeCell ref="A117:G117"/>
    <mergeCell ref="A82:G82"/>
    <mergeCell ref="A77:J77"/>
    <mergeCell ref="A78:J78"/>
    <mergeCell ref="A33:G33"/>
    <mergeCell ref="C61:C64"/>
    <mergeCell ref="D39:D45"/>
    <mergeCell ref="E39:E45"/>
    <mergeCell ref="H61:H64"/>
    <mergeCell ref="D61:D64"/>
    <mergeCell ref="E61:E64"/>
    <mergeCell ref="F61:F64"/>
    <mergeCell ref="G61:G64"/>
    <mergeCell ref="H39:H44"/>
    <mergeCell ref="H48:H50"/>
    <mergeCell ref="H58:H60"/>
    <mergeCell ref="D57:D60"/>
    <mergeCell ref="E57:E60"/>
    <mergeCell ref="A74:G74"/>
    <mergeCell ref="A66:J66"/>
    <mergeCell ref="D10:D12"/>
    <mergeCell ref="E10:E12"/>
    <mergeCell ref="D21:D23"/>
    <mergeCell ref="E21:E23"/>
    <mergeCell ref="A19:G19"/>
    <mergeCell ref="A13:G13"/>
    <mergeCell ref="C15:C18"/>
    <mergeCell ref="F15:F18"/>
    <mergeCell ref="G15:G18"/>
    <mergeCell ref="A73:G73"/>
    <mergeCell ref="H10:H11"/>
    <mergeCell ref="I10:I11"/>
    <mergeCell ref="A65:G65"/>
    <mergeCell ref="A55:G55"/>
    <mergeCell ref="C48:C54"/>
    <mergeCell ref="D48:D54"/>
    <mergeCell ref="J10:J11"/>
    <mergeCell ref="C10:C12"/>
    <mergeCell ref="F10:F12"/>
    <mergeCell ref="G10:G12"/>
    <mergeCell ref="C67:C72"/>
    <mergeCell ref="D67:D72"/>
    <mergeCell ref="G1:J2"/>
    <mergeCell ref="A3:J3"/>
    <mergeCell ref="A5:A6"/>
    <mergeCell ref="B5:B6"/>
    <mergeCell ref="C5:C6"/>
    <mergeCell ref="D5:E5"/>
    <mergeCell ref="F5:F6"/>
    <mergeCell ref="G5:G6"/>
    <mergeCell ref="H5:J5"/>
    <mergeCell ref="A7:J7"/>
    <mergeCell ref="I51:I54"/>
    <mergeCell ref="J51:J54"/>
    <mergeCell ref="D15:D18"/>
    <mergeCell ref="E15:E18"/>
    <mergeCell ref="A35:G35"/>
    <mergeCell ref="H51:H54"/>
    <mergeCell ref="A25:G25"/>
    <mergeCell ref="A26:J26"/>
    <mergeCell ref="H15:H17"/>
    <mergeCell ref="C21:C23"/>
    <mergeCell ref="F21:F23"/>
    <mergeCell ref="G21:G23"/>
    <mergeCell ref="E48:E54"/>
    <mergeCell ref="F48:F54"/>
    <mergeCell ref="G48:G54"/>
    <mergeCell ref="C27:C32"/>
    <mergeCell ref="D27:D32"/>
    <mergeCell ref="E27:E32"/>
    <mergeCell ref="F27:F32"/>
    <mergeCell ref="G27:G32"/>
    <mergeCell ref="H27:H32"/>
    <mergeCell ref="I27:I32"/>
    <mergeCell ref="J27:J32"/>
    <mergeCell ref="C121:C123"/>
    <mergeCell ref="F121:F123"/>
    <mergeCell ref="G121:G123"/>
    <mergeCell ref="E121:E123"/>
    <mergeCell ref="D149:D151"/>
    <mergeCell ref="E133:E135"/>
    <mergeCell ref="A192:J192"/>
    <mergeCell ref="A191:J191"/>
    <mergeCell ref="A137:J137"/>
    <mergeCell ref="A136:G136"/>
    <mergeCell ref="A143:G143"/>
    <mergeCell ref="D154:D156"/>
    <mergeCell ref="E154:E156"/>
    <mergeCell ref="F154:F156"/>
    <mergeCell ref="A153:J153"/>
    <mergeCell ref="I149:I150"/>
    <mergeCell ref="J149:J150"/>
    <mergeCell ref="J154:J156"/>
    <mergeCell ref="C154:C156"/>
    <mergeCell ref="J138:J142"/>
    <mergeCell ref="C176:C186"/>
    <mergeCell ref="D176:D186"/>
    <mergeCell ref="E176:E186"/>
    <mergeCell ref="F176:F186"/>
    <mergeCell ref="A116:G116"/>
    <mergeCell ref="A119:J119"/>
    <mergeCell ref="I121:I122"/>
    <mergeCell ref="C126:C130"/>
    <mergeCell ref="C149:C151"/>
    <mergeCell ref="F149:F151"/>
    <mergeCell ref="G149:G151"/>
    <mergeCell ref="H134:H135"/>
    <mergeCell ref="I134:I135"/>
    <mergeCell ref="J134:J135"/>
    <mergeCell ref="D126:D130"/>
    <mergeCell ref="H149:H150"/>
    <mergeCell ref="F133:F135"/>
    <mergeCell ref="A146:G146"/>
    <mergeCell ref="E149:E151"/>
    <mergeCell ref="A144:G144"/>
    <mergeCell ref="D133:D135"/>
    <mergeCell ref="G133:G135"/>
    <mergeCell ref="C138:C142"/>
    <mergeCell ref="D138:D142"/>
    <mergeCell ref="E138:E142"/>
    <mergeCell ref="F138:F142"/>
    <mergeCell ref="G138:G142"/>
    <mergeCell ref="A131:G131"/>
    <mergeCell ref="A266:G266"/>
    <mergeCell ref="H271:H276"/>
    <mergeCell ref="A258:J258"/>
    <mergeCell ref="J259:J260"/>
    <mergeCell ref="A221:G221"/>
    <mergeCell ref="F204:F206"/>
    <mergeCell ref="G204:G206"/>
    <mergeCell ref="C193:C196"/>
    <mergeCell ref="A202:G202"/>
    <mergeCell ref="A197:G197"/>
    <mergeCell ref="H200:H201"/>
    <mergeCell ref="C199:C201"/>
    <mergeCell ref="E193:E196"/>
    <mergeCell ref="G193:G196"/>
    <mergeCell ref="F193:F196"/>
    <mergeCell ref="G199:G201"/>
    <mergeCell ref="H193:H194"/>
    <mergeCell ref="F199:F201"/>
    <mergeCell ref="D199:D201"/>
    <mergeCell ref="E199:E201"/>
    <mergeCell ref="J193:J194"/>
    <mergeCell ref="D193:D196"/>
    <mergeCell ref="I205:I206"/>
    <mergeCell ref="J205:J206"/>
    <mergeCell ref="A174:G174"/>
    <mergeCell ref="J163:J164"/>
    <mergeCell ref="I193:I194"/>
    <mergeCell ref="H195:H196"/>
    <mergeCell ref="C259:C265"/>
    <mergeCell ref="D259:D265"/>
    <mergeCell ref="E259:E265"/>
    <mergeCell ref="F259:F265"/>
    <mergeCell ref="G259:G265"/>
    <mergeCell ref="D238:D241"/>
    <mergeCell ref="E238:E241"/>
    <mergeCell ref="A236:G236"/>
    <mergeCell ref="A254:G254"/>
    <mergeCell ref="J261:J265"/>
    <mergeCell ref="A255:G255"/>
    <mergeCell ref="H259:H260"/>
    <mergeCell ref="A243:J243"/>
    <mergeCell ref="A253:G253"/>
    <mergeCell ref="C244:C252"/>
    <mergeCell ref="J200:J201"/>
    <mergeCell ref="H205:H206"/>
    <mergeCell ref="I228:I229"/>
    <mergeCell ref="J228:J229"/>
    <mergeCell ref="I233:I235"/>
    <mergeCell ref="A302:G302"/>
    <mergeCell ref="H268:H270"/>
    <mergeCell ref="I268:I270"/>
    <mergeCell ref="J268:J270"/>
    <mergeCell ref="C268:C276"/>
    <mergeCell ref="D268:D276"/>
    <mergeCell ref="E268:E276"/>
    <mergeCell ref="F268:F276"/>
    <mergeCell ref="G268:G276"/>
    <mergeCell ref="I271:I276"/>
    <mergeCell ref="J271:J276"/>
    <mergeCell ref="E279:E285"/>
    <mergeCell ref="D279:D285"/>
    <mergeCell ref="C279:C285"/>
    <mergeCell ref="H281:H285"/>
    <mergeCell ref="I281:I285"/>
    <mergeCell ref="C288:C298"/>
    <mergeCell ref="D288:D298"/>
    <mergeCell ref="E288:E298"/>
    <mergeCell ref="F288:F298"/>
    <mergeCell ref="G288:G298"/>
    <mergeCell ref="A286:G286"/>
    <mergeCell ref="A287:J287"/>
    <mergeCell ref="G323:G324"/>
    <mergeCell ref="H323:H324"/>
    <mergeCell ref="I323:I324"/>
    <mergeCell ref="D313:D316"/>
    <mergeCell ref="E313:E316"/>
    <mergeCell ref="H313:H314"/>
    <mergeCell ref="I313:I314"/>
    <mergeCell ref="H321:H322"/>
    <mergeCell ref="I321:I322"/>
    <mergeCell ref="A317:G317"/>
    <mergeCell ref="C319:C322"/>
    <mergeCell ref="F319:F322"/>
    <mergeCell ref="G319:G322"/>
    <mergeCell ref="C313:C316"/>
    <mergeCell ref="F313:F316"/>
    <mergeCell ref="G313:G316"/>
    <mergeCell ref="A335:G335"/>
    <mergeCell ref="A338:G338"/>
    <mergeCell ref="A339:G339"/>
    <mergeCell ref="A334:G334"/>
    <mergeCell ref="A336:G336"/>
    <mergeCell ref="A337:G337"/>
    <mergeCell ref="C97:C103"/>
    <mergeCell ref="F97:F103"/>
    <mergeCell ref="G97:G103"/>
    <mergeCell ref="D97:D103"/>
    <mergeCell ref="E97:E103"/>
    <mergeCell ref="A105:J105"/>
    <mergeCell ref="A104:G104"/>
    <mergeCell ref="C106:C114"/>
    <mergeCell ref="D106:D114"/>
    <mergeCell ref="E106:E114"/>
    <mergeCell ref="J97:J103"/>
    <mergeCell ref="H97:H103"/>
    <mergeCell ref="I97:I103"/>
    <mergeCell ref="F106:F114"/>
    <mergeCell ref="G106:G114"/>
    <mergeCell ref="H106:H114"/>
    <mergeCell ref="I106:I114"/>
    <mergeCell ref="J106:J114"/>
    <mergeCell ref="A152:G152"/>
    <mergeCell ref="D204:D206"/>
    <mergeCell ref="E204:E206"/>
    <mergeCell ref="H233:H235"/>
    <mergeCell ref="J233:J235"/>
    <mergeCell ref="D232:D235"/>
    <mergeCell ref="E232:E235"/>
    <mergeCell ref="H315:H316"/>
    <mergeCell ref="I315:I316"/>
    <mergeCell ref="J315:J316"/>
    <mergeCell ref="H305:H307"/>
    <mergeCell ref="I305:I307"/>
    <mergeCell ref="J305:J307"/>
    <mergeCell ref="H308:H310"/>
    <mergeCell ref="I308:I310"/>
    <mergeCell ref="J308:J310"/>
    <mergeCell ref="A299:G299"/>
    <mergeCell ref="A311:G311"/>
    <mergeCell ref="A300:G300"/>
    <mergeCell ref="A301:G301"/>
    <mergeCell ref="F305:F310"/>
    <mergeCell ref="G305:G310"/>
    <mergeCell ref="D305:D310"/>
    <mergeCell ref="E305:E310"/>
    <mergeCell ref="E67:E72"/>
    <mergeCell ref="F67:F72"/>
    <mergeCell ref="G67:G72"/>
    <mergeCell ref="H67:H72"/>
    <mergeCell ref="I67:I72"/>
    <mergeCell ref="J67:J72"/>
    <mergeCell ref="A34:G34"/>
    <mergeCell ref="I61:I64"/>
    <mergeCell ref="J61:J64"/>
    <mergeCell ref="F39:F45"/>
    <mergeCell ref="G39:G45"/>
    <mergeCell ref="C57:C60"/>
    <mergeCell ref="I39:I44"/>
    <mergeCell ref="J39:J44"/>
    <mergeCell ref="I48:I50"/>
    <mergeCell ref="J48:J50"/>
    <mergeCell ref="I58:I60"/>
    <mergeCell ref="J58:J60"/>
    <mergeCell ref="C39:C45"/>
    <mergeCell ref="F57:F60"/>
    <mergeCell ref="G57:G60"/>
    <mergeCell ref="A46:G46"/>
  </mergeCells>
  <pageMargins left="0.43307086614173229" right="0.23622047244094491" top="0.55118110236220474" bottom="0.19685039370078741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5</vt:i4>
      </vt:variant>
    </vt:vector>
  </HeadingPairs>
  <TitlesOfParts>
    <vt:vector size="11" baseType="lpstr">
      <vt:lpstr>Lyginamasis variantas </vt:lpstr>
      <vt:lpstr>Lapas1</vt:lpstr>
      <vt:lpstr>lyginamasis variantas</vt:lpstr>
      <vt:lpstr>2015 m. 7 pr.</vt:lpstr>
      <vt:lpstr>Viešoji tvarka</vt:lpstr>
      <vt:lpstr>Daugiabučių namų programa</vt:lpstr>
      <vt:lpstr>'2015 m. 7 pr.'!Print_Area</vt:lpstr>
      <vt:lpstr>'Daugiabučių namų programa'!Print_Area</vt:lpstr>
      <vt:lpstr>'Lyginamasis variantas '!Print_Area</vt:lpstr>
      <vt:lpstr>'2015 m. 7 pr.'!Print_Titles</vt:lpstr>
      <vt:lpstr>'Lyginamasis variantas '!Print_Titles</vt:lpstr>
    </vt:vector>
  </TitlesOfParts>
  <Company>valdyba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A.Cepiene</dc:creator>
  <cp:lastModifiedBy>Gintare Kareiviene</cp:lastModifiedBy>
  <cp:lastPrinted>2016-11-29T14:46:36Z</cp:lastPrinted>
  <dcterms:created xsi:type="dcterms:W3CDTF">2007-07-27T10:32:34Z</dcterms:created>
  <dcterms:modified xsi:type="dcterms:W3CDTF">2016-12-30T08:06:00Z</dcterms:modified>
</cp:coreProperties>
</file>